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mMtgyVlRodtA1OF2LWqONsvwu8JJQj+cPfqRytEtFFXvCmsmOtxMn0owIL5J/EmKJqfnDHNSuLoZg1ShoceQ==" workbookSaltValue="sCmT06yQ/tkpWc7YeGfU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L12" i="14" s="1"/>
  <c r="C10" i="2"/>
  <c r="D10" i="2" s="1"/>
  <c r="C11" i="2"/>
  <c r="C12" i="2"/>
  <c r="D12" i="2" s="1"/>
  <c r="G9" i="2"/>
  <c r="G10" i="2"/>
  <c r="AL10" i="11"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N10" i="11"/>
  <c r="N9" i="11"/>
  <c r="T10" i="21"/>
  <c r="AO16" i="11"/>
  <c r="F10" i="10"/>
  <c r="N11" i="11"/>
  <c r="ES19" i="8"/>
  <c r="C18" i="7"/>
  <c r="S19" i="13"/>
  <c r="AG19" i="19"/>
  <c r="CI19" i="8"/>
  <c r="F17" i="16"/>
  <c r="BL17" i="16" s="1"/>
  <c r="EP19" i="8"/>
  <c r="ER19" i="13"/>
  <c r="AL13" i="16"/>
  <c r="S13" i="16"/>
  <c r="H18" i="16"/>
  <c r="P13" i="16"/>
  <c r="AN13" i="20"/>
  <c r="F17" i="17"/>
  <c r="AQ17" i="17" s="1"/>
  <c r="N13" i="2"/>
  <c r="AO12" i="11"/>
  <c r="B12" i="6"/>
  <c r="AC10" i="11"/>
  <c r="T19" i="8"/>
  <c r="AJ19" i="8"/>
  <c r="T13" i="12"/>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I17" i="16" l="1"/>
  <c r="C17" i="6"/>
  <c r="AY18" i="8"/>
  <c r="C19" i="3"/>
  <c r="B18" i="2"/>
  <c r="H15" i="2"/>
  <c r="S19" i="8"/>
  <c r="AW18" i="21"/>
  <c r="H13" i="12"/>
  <c r="F9" i="11"/>
  <c r="E11" i="6"/>
  <c r="D11" i="2"/>
  <c r="AO17" i="11"/>
  <c r="F9" i="2"/>
  <c r="H12" i="2"/>
  <c r="C10" i="6"/>
  <c r="M18" i="2"/>
  <c r="M19" i="2" s="1"/>
  <c r="N18" i="2"/>
  <c r="BE9" i="8"/>
  <c r="AY13" i="8"/>
  <c r="AL11" i="11"/>
  <c r="B9" i="6"/>
  <c r="B17" i="6"/>
  <c r="B16" i="6"/>
  <c r="R8" i="9"/>
  <c r="AY13" i="13"/>
  <c r="BE9" i="13"/>
  <c r="AZ13" i="13"/>
  <c r="BB13" i="13"/>
  <c r="F15" i="17"/>
  <c r="BE15" i="13"/>
  <c r="BA18" i="13"/>
  <c r="BG15" i="8"/>
  <c r="K15" i="7" s="1"/>
  <c r="E15" i="6"/>
  <c r="BD15" i="8"/>
  <c r="H15" i="7" s="1"/>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I18" i="2"/>
  <c r="G18" i="2"/>
  <c r="B18" i="6" s="1"/>
  <c r="L17" i="14"/>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AY19" i="8"/>
  <c r="J18" i="2"/>
  <c r="K15" i="12"/>
  <c r="D19" i="5"/>
  <c r="I10" i="12"/>
  <c r="G19" i="7"/>
  <c r="J9" i="12"/>
  <c r="K9" i="12"/>
  <c r="AL18" i="11"/>
  <c r="H13" i="2"/>
  <c r="AM13" i="11"/>
  <c r="BW21" i="20"/>
  <c r="P16" i="11"/>
  <c r="BF11" i="11"/>
  <c r="BL9" i="11"/>
  <c r="BK9" i="11"/>
  <c r="BK13" i="11" s="1"/>
  <c r="BK19" i="11" s="1"/>
  <c r="U10" i="17"/>
  <c r="P17" i="17"/>
  <c r="P18" i="17" s="1"/>
  <c r="P19" i="17" s="1"/>
  <c r="BM12" i="11"/>
  <c r="R17" i="20"/>
  <c r="BV12" i="16"/>
  <c r="BV13" i="16" s="1"/>
  <c r="AA16" i="16"/>
  <c r="BI9" i="11"/>
  <c r="BH12" i="16"/>
  <c r="BJ15" i="11"/>
  <c r="BJ18" i="11" s="1"/>
  <c r="AZ15" i="11"/>
  <c r="AZ18" i="11" s="1"/>
  <c r="T16" i="11"/>
  <c r="BH11" i="11"/>
  <c r="R16" i="14"/>
  <c r="S12" i="14"/>
  <c r="Y13" i="11"/>
  <c r="AO12" i="17"/>
  <c r="S16" i="14"/>
  <c r="V16" i="14" s="1"/>
  <c r="V10" i="21"/>
  <c r="V13" i="21" s="1"/>
  <c r="V19" i="21" s="1"/>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V12" i="14" l="1"/>
  <c r="V13" i="14" s="1"/>
  <c r="V19" i="14" s="1"/>
  <c r="S13" i="14"/>
  <c r="S19" i="14" s="1"/>
  <c r="R18" i="20"/>
  <c r="R19" i="20"/>
  <c r="P9" i="11"/>
  <c r="Q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<sst xmlns="http://schemas.openxmlformats.org/spreadsheetml/2006/main" count="2088" uniqueCount="917">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</sst>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XixYHLQcGwV/zmwwhQrXLF6xKokX8sCXXS7LQqVVHVIC/xy1GQbkbKRjMhzThdge1KYzWQM+4E43yKT9bYTWg==" saltValue="u4MUovzlLOB7QnXwsEkL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30.609349628236902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4</v>
      </c>
      <c r="B10" s="501" t="str">
        <f>Datos!A10</f>
        <v>Jdos. Violencia contra la mujer/Secc Viol. TI.</v>
      </c>
      <c r="C10" s="224">
        <f t="shared" si="0"/>
        <v>399</v>
      </c>
      <c r="D10" s="224">
        <f>IF(ISNUMBER(Datos!I10),Datos!I10," - ")</f>
        <v>400</v>
      </c>
      <c r="E10" s="225">
        <f>IF(ISNUMBER(Datos!J10),Datos!J10," - ")</f>
        <v>202</v>
      </c>
      <c r="F10" s="225">
        <f>IF(ISNUMBER(Datos!K10),Datos!K10," - ")</f>
        <v>256</v>
      </c>
      <c r="G10" s="1033" t="str">
        <f>IF(Datos!E10&lt;&gt;"",Datos!E10,Datos!D10)</f>
        <v>37</v>
      </c>
      <c r="H10" s="226">
        <f>IF(ISNUMBER(Datos!L10),Datos!L10," - ")</f>
        <v>345</v>
      </c>
      <c r="I10" s="1043" t="str">
        <f>IF(ISNUMBER(Datos!AS10/Datos!BM10),Datos!AS10/Datos!BM10," - ")</f>
        <v xml:space="preserve"> - </v>
      </c>
      <c r="J10" s="1044">
        <f>IF(ISNUMBER(Datos!BY10/Datos!CN10),Datos!BY10/Datos!CN10," - ")</f>
        <v>0</v>
      </c>
      <c r="K10" s="229">
        <f t="shared" ref="K10:K12" si="1">IF(ISNUMBER((E10-F10)/C10),(E10-F10)/C10," - ")</f>
        <v>-0.13533834586466165</v>
      </c>
      <c r="L10" s="1024">
        <f>IF(ISNUMBER(NºAsuntos!I10/NºAsuntos!G10),(NºAsuntos!I10/NºAsuntos!G10)*11," - ")</f>
        <v>14.82421875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11.244297719087635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399</v>
      </c>
      <c r="D13" s="1048">
        <f>SUBTOTAL(9,D9:D12)</f>
        <v>400</v>
      </c>
      <c r="E13" s="1049">
        <f>SUBTOTAL(9,E9:E12)</f>
        <v>202</v>
      </c>
      <c r="F13" s="1050">
        <f>SUBTOTAL(9,F9:F12)</f>
        <v>256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14</v>
      </c>
      <c r="B15" s="501" t="str">
        <f>Datos!A15</f>
        <v xml:space="preserve">Jdos. Instrucción                               </v>
      </c>
      <c r="C15" s="224">
        <f t="shared" ref="C15:C17" si="2">IF(ISNUMBER(H15-E15+F15),H15-E15+F15," - ")</f>
        <v>9656</v>
      </c>
      <c r="D15" s="224">
        <f>IF(ISNUMBER(IF(D_I="SI",Datos!I15,Datos!I15+Datos!AC15)),IF(D_I="SI",Datos!I15,Datos!I15+Datos!AC15)," - ")</f>
        <v>9524</v>
      </c>
      <c r="E15" s="225">
        <f>IF(ISNUMBER(IF(D_I="SI",Datos!J15,Datos!J15+Datos!AD15)),IF(D_I="SI",Datos!J15,Datos!J15+Datos!AD15)," - ")</f>
        <v>14833</v>
      </c>
      <c r="F15" s="225">
        <f>IF(ISNUMBER(IF(D_I="SI",Datos!K15,Datos!K15+Datos!AE15)),IF(D_I="SI",Datos!K15,Datos!K15+Datos!AE15)," - ")</f>
        <v>14486</v>
      </c>
      <c r="G15" s="1033" t="str">
        <f>IF(Datos!E15&lt;&gt;"",Datos!E15,Datos!D15)</f>
        <v>03</v>
      </c>
      <c r="H15" s="226">
        <f>IF(ISNUMBER(IF(D_I="SI",Datos!L15,Datos!L15+Datos!AF15)),IF(D_I="SI",Datos!L15,Datos!L15+Datos!AF15)," - ")</f>
        <v>10003</v>
      </c>
      <c r="I15" s="1043" t="str">
        <f>IF(ISNUMBER(Datos!AS15/Datos!BM15),Datos!AS15/Datos!BM15," - ")</f>
        <v xml:space="preserve"> - </v>
      </c>
      <c r="J15" s="1044">
        <f>IF(ISNUMBER(Datos!BY15/Datos!CN15),Datos!BY15/Datos!CN15," - ")</f>
        <v>0</v>
      </c>
      <c r="K15" s="229">
        <f t="shared" ref="K15:K17" si="3">IF(ISNUMBER((E15-F15)/C15),(E15-F15)/C15," - ")</f>
        <v>3.5936205468102736E-2</v>
      </c>
      <c r="L15" s="1024">
        <f>IF(ISNUMBER(NºAsuntos!I15/NºAsuntos!G15),(NºAsuntos!I15/NºAsuntos!G15)*11," - ")</f>
        <v>7.5958166505591604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4</v>
      </c>
      <c r="B17" s="501" t="str">
        <f>Datos!A17</f>
        <v>Jdos. Violencia contra la mujer/Secc Viol. TI.</v>
      </c>
      <c r="C17" s="224">
        <f t="shared" si="2"/>
        <v>1247</v>
      </c>
      <c r="D17" s="224">
        <f>IF(ISNUMBER(IF(D_I="SI",Datos!I17,Datos!I17+Datos!AC17)),IF(D_I="SI",Datos!I17,Datos!I17+Datos!AC17)," - ")</f>
        <v>1239</v>
      </c>
      <c r="E17" s="225">
        <f>IF(ISNUMBER(IF(D_I="SI",Datos!J17,Datos!J17+Datos!AD17)),IF(D_I="SI",Datos!J17,Datos!J17+Datos!AD17)," - ")</f>
        <v>1936</v>
      </c>
      <c r="F17" s="225">
        <f>IF(ISNUMBER(IF(D_I="SI",Datos!K17,Datos!K17+Datos!AE17)),IF(D_I="SI",Datos!K17,Datos!K17+Datos!AE17)," - ")</f>
        <v>2041</v>
      </c>
      <c r="G17" s="1033" t="str">
        <f>IF(Datos!E17&lt;&gt;"",Datos!E17,Datos!D17)</f>
        <v>37</v>
      </c>
      <c r="H17" s="226">
        <f>IF(ISNUMBER(IF(D_I="SI",Datos!L17,Datos!L17+Datos!AF17)),IF(D_I="SI",Datos!L17,Datos!L17+Datos!AF17)," - ")</f>
        <v>1142</v>
      </c>
      <c r="I17" s="1043" t="str">
        <f>IF(ISNUMBER(Datos!AS17/Datos!BM17),Datos!AS17/Datos!BM17," - ")</f>
        <v xml:space="preserve"> - </v>
      </c>
      <c r="J17" s="1044" t="str">
        <f>IF(ISNUMBER((Datos!BY17+Datos!BZ17)/Datos!CN17),(Datos!BY17+Datos!BZ17)/Datos!CN17," - ")</f>
        <v xml:space="preserve"> - </v>
      </c>
      <c r="K17" s="229">
        <f t="shared" si="3"/>
        <v>-8.4202085004009622E-2</v>
      </c>
      <c r="L17" s="1024">
        <f>IF(ISNUMBER(NºAsuntos!I17/NºAsuntos!G17),(NºAsuntos!I17/NºAsuntos!G17)*11," - ")</f>
        <v>6.1548260656540918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10903</v>
      </c>
      <c r="D18" s="1048">
        <f>SUBTOTAL(9,D15:D17)</f>
        <v>10763</v>
      </c>
      <c r="E18" s="1049">
        <f>SUBTOTAL(9,E15:E17)</f>
        <v>16769</v>
      </c>
      <c r="F18" s="1049">
        <f>SUBTOTAL(9,F15:F17)</f>
        <v>16527</v>
      </c>
      <c r="G18" s="1051" t="str">
        <f ca="1">INDIRECT(CONCATENATE("G",ROW()-1))</f>
        <v>37</v>
      </c>
      <c r="H18" s="1052">
        <f ca="1">SUMIF(G$14:G17,G18,H$14:H17)</f>
        <v>1142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11302</v>
      </c>
      <c r="D19" s="1070">
        <f>SUBTOTAL(9,D9:D18)</f>
        <v>11163</v>
      </c>
      <c r="E19" s="1071">
        <f>SUBTOTAL(9,E9:E18)</f>
        <v>16971</v>
      </c>
      <c r="F19" s="1071">
        <f>SUBTOTAL(9,F9:F18)</f>
        <v>16783</v>
      </c>
      <c r="G19" s="1072"/>
      <c r="H19" s="1073">
        <f ca="1">SUMIF(B9:B18,"TOTAL",H9:H18)</f>
        <v>1142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juq7NV7DBHo/9LxFPOjg/AFVocWZt+zUmjlKwxmMZshbyupqZNlmD5R1aXoj+xWR5n5cyBN17ykI4UO58j+xw==" saltValue="FX+aeSgwVsA1F73qIdIU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jBfIiIISocLw0nMUaULji7h3DBr035l2fEHtggPbFq8vAto0tAh3EiYfmgKLLpABFartpOUz53Vota6mX+pMw==" saltValue="XDgsrlzsQAw36r597rLo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33472</v>
      </c>
      <c r="J9" s="180">
        <v>8553</v>
      </c>
      <c r="K9" s="180">
        <v>10731</v>
      </c>
      <c r="L9" s="180">
        <v>31972</v>
      </c>
      <c r="M9" s="180">
        <v>1950</v>
      </c>
      <c r="N9" s="180">
        <v>7050</v>
      </c>
      <c r="O9" s="180">
        <v>3800</v>
      </c>
      <c r="P9" s="180">
        <v>2343</v>
      </c>
      <c r="Q9" s="180">
        <v>1437</v>
      </c>
      <c r="R9" s="180">
        <v>27620</v>
      </c>
      <c r="S9" s="180">
        <v>34714</v>
      </c>
      <c r="T9" s="180">
        <v>14073</v>
      </c>
      <c r="U9" s="180">
        <v>12748</v>
      </c>
      <c r="V9" s="180">
        <v>36038</v>
      </c>
      <c r="W9" s="180">
        <v>2473</v>
      </c>
      <c r="X9" s="187">
        <v>8404</v>
      </c>
      <c r="Y9" s="190">
        <v>546</v>
      </c>
      <c r="Z9" s="180">
        <v>1012</v>
      </c>
      <c r="AA9" s="180">
        <v>970</v>
      </c>
      <c r="AB9" s="180">
        <v>588</v>
      </c>
      <c r="AC9" s="180">
        <v>0</v>
      </c>
      <c r="AD9" s="180">
        <v>0</v>
      </c>
      <c r="AE9" s="180">
        <v>0</v>
      </c>
      <c r="AF9" s="187">
        <v>0</v>
      </c>
      <c r="AG9" s="190">
        <v>428</v>
      </c>
      <c r="AH9" s="180">
        <v>919</v>
      </c>
      <c r="AI9" s="180">
        <v>989</v>
      </c>
      <c r="AJ9" s="191">
        <v>358</v>
      </c>
      <c r="AK9" s="179">
        <v>0</v>
      </c>
      <c r="AL9" s="180">
        <v>0</v>
      </c>
      <c r="AM9" s="180">
        <v>0</v>
      </c>
      <c r="AN9" s="187">
        <v>0</v>
      </c>
      <c r="AO9" s="257">
        <v>18</v>
      </c>
      <c r="AP9" s="153">
        <v>18</v>
      </c>
      <c r="AQ9" s="153">
        <v>18</v>
      </c>
      <c r="AR9" s="192">
        <v>18</v>
      </c>
      <c r="AS9" s="337" t="s">
        <v>791</v>
      </c>
      <c r="AT9" s="194"/>
      <c r="AU9" s="193"/>
      <c r="AV9" s="194"/>
      <c r="AW9" s="193"/>
      <c r="AX9" s="194"/>
      <c r="AY9" s="123">
        <f>IF(ISNUMBER(IF(J_V="SI",S9,S9+AG9)),IF(J_V="SI",S9,S9+AG9)," - ")</f>
        <v>35142</v>
      </c>
      <c r="AZ9" s="123">
        <f>IF(ISNUMBER(IF(J_V="SI",T9,T9+AH9)),IF(J_V="SI",T9,T9+AH9)," - ")</f>
        <v>14992</v>
      </c>
      <c r="BA9" s="124">
        <f>IF(ISNUMBER(IF(J_V="SI",U9,U9+AI9)),IF(J_V="SI",U9,U9+AI9)," - ")</f>
        <v>13737</v>
      </c>
      <c r="BB9" s="124">
        <f>IF(ISNUMBER(IF(J_V="SI",V9,V9+AJ9)),IF(J_V="SI",V9,V9+AJ9)," - ")</f>
        <v>36396</v>
      </c>
      <c r="BC9" s="125">
        <f>IF(ISNUMBER(X9),X9," - ")</f>
        <v>8404</v>
      </c>
      <c r="BD9" s="126">
        <f>IF(ISNUMBER(BA9/AZ9),BA9/AZ9," - ")</f>
        <v>0.91628868729989332</v>
      </c>
      <c r="BE9" s="127">
        <f>IF(ISNUMBER(BB9/BA9),BB9/BA9, " - ")</f>
        <v>2.6494867875081898</v>
      </c>
      <c r="BF9" s="127">
        <f>IF(ISNUMBER(BC9/BA9),BC9/BA9, " - ")</f>
        <v>0.61177840867729494</v>
      </c>
      <c r="BG9" s="195">
        <f>IF(ISNUMBER((AY9+AZ9)/BA9),(AY9+AZ9)/BA9," - ")</f>
        <v>3.6495595836063188</v>
      </c>
      <c r="BH9" s="153">
        <v>18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400</v>
      </c>
      <c r="J10" s="180">
        <v>202</v>
      </c>
      <c r="K10" s="180">
        <v>256</v>
      </c>
      <c r="L10" s="180">
        <v>345</v>
      </c>
      <c r="M10" s="180">
        <v>102</v>
      </c>
      <c r="N10" s="180">
        <v>125</v>
      </c>
      <c r="O10" s="180">
        <v>46</v>
      </c>
      <c r="P10" s="180">
        <v>44</v>
      </c>
      <c r="Q10" s="180">
        <v>23</v>
      </c>
      <c r="R10" s="180">
        <v>404</v>
      </c>
      <c r="S10" s="180">
        <v>380</v>
      </c>
      <c r="T10" s="180">
        <v>192</v>
      </c>
      <c r="U10" s="180">
        <v>185</v>
      </c>
      <c r="V10" s="180">
        <v>361</v>
      </c>
      <c r="W10" s="180">
        <v>67</v>
      </c>
      <c r="X10" s="187">
        <v>110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785</v>
      </c>
      <c r="AT10" s="191"/>
      <c r="AU10" s="199"/>
      <c r="AV10" s="191"/>
      <c r="AW10" s="199"/>
      <c r="AX10" s="191"/>
      <c r="AY10" s="128">
        <f t="shared" ref="AY10:BC10" si="0">IF(ISNUMBER(S10),S10," - ")</f>
        <v>380</v>
      </c>
      <c r="AZ10" s="129">
        <f t="shared" si="0"/>
        <v>192</v>
      </c>
      <c r="BA10" s="129">
        <f t="shared" si="0"/>
        <v>185</v>
      </c>
      <c r="BB10" s="129">
        <f t="shared" si="0"/>
        <v>361</v>
      </c>
      <c r="BC10" s="125">
        <f t="shared" si="0"/>
        <v>67</v>
      </c>
      <c r="BD10" s="126">
        <f>IF(ISNUMBER(BA10/AZ10),BA10/AZ10," - ")</f>
        <v>0.96354166666666663</v>
      </c>
      <c r="BE10" s="127">
        <f>IF(ISNUMBER(BB10/BA10),BB10/BA10, " - ")</f>
        <v>1.9513513513513514</v>
      </c>
      <c r="BF10" s="127">
        <f>IF(ISNUMBER(BC10/BA10),BC10/BA10, " - ")</f>
        <v>0.36216216216216218</v>
      </c>
      <c r="BG10" s="195">
        <f>IF(ISNUMBER((AY10+AZ10)/BA10),(AY10+AZ10)/BA10," - ")</f>
        <v>3.0918918918918918</v>
      </c>
      <c r="BH10" s="154">
        <v>4</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1815</v>
      </c>
      <c r="J11" s="182">
        <v>1045</v>
      </c>
      <c r="K11" s="182">
        <v>1508</v>
      </c>
      <c r="L11" s="182">
        <v>1528</v>
      </c>
      <c r="M11" s="182">
        <v>675</v>
      </c>
      <c r="N11" s="182">
        <v>545</v>
      </c>
      <c r="O11" s="180">
        <v>537</v>
      </c>
      <c r="P11" s="182">
        <v>185</v>
      </c>
      <c r="Q11" s="182">
        <v>193</v>
      </c>
      <c r="R11" s="182">
        <v>2044</v>
      </c>
      <c r="S11" s="182">
        <v>2408</v>
      </c>
      <c r="T11" s="182">
        <v>1232</v>
      </c>
      <c r="U11" s="182">
        <v>1480</v>
      </c>
      <c r="V11" s="182">
        <v>2160</v>
      </c>
      <c r="W11" s="182">
        <v>725</v>
      </c>
      <c r="X11" s="188">
        <v>491</v>
      </c>
      <c r="Y11" s="190">
        <v>157</v>
      </c>
      <c r="Z11" s="180">
        <v>121</v>
      </c>
      <c r="AA11" s="180">
        <v>158</v>
      </c>
      <c r="AB11" s="180">
        <v>175</v>
      </c>
      <c r="AC11" s="182">
        <v>0</v>
      </c>
      <c r="AD11" s="182">
        <v>0</v>
      </c>
      <c r="AE11" s="182">
        <v>0</v>
      </c>
      <c r="AF11" s="188">
        <v>0</v>
      </c>
      <c r="AG11" s="201">
        <v>125</v>
      </c>
      <c r="AH11" s="182">
        <v>101</v>
      </c>
      <c r="AI11" s="182">
        <v>121</v>
      </c>
      <c r="AJ11" s="202">
        <v>105</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2533</v>
      </c>
      <c r="AZ11" s="127">
        <f t="shared" si="1"/>
        <v>1333</v>
      </c>
      <c r="BA11" s="127">
        <f t="shared" si="1"/>
        <v>1601</v>
      </c>
      <c r="BB11" s="127">
        <f t="shared" si="1"/>
        <v>2265</v>
      </c>
      <c r="BC11" s="125">
        <f>IF(ISNUMBER(X11),X11," - ")</f>
        <v>491</v>
      </c>
      <c r="BD11" s="126">
        <f t="shared" ref="BD11:BD12" si="2">IF(ISNUMBER(BA11/AZ11),BA11/AZ11," - ")</f>
        <v>1.2010502625656414</v>
      </c>
      <c r="BE11" s="127">
        <f t="shared" ref="BE11:BE12" si="3">IF(ISNUMBER(BB11/BA11),BB11/BA11, " - ")</f>
        <v>1.4147407870081199</v>
      </c>
      <c r="BF11" s="127">
        <f t="shared" ref="BF11:BF12" si="4">IF(ISNUMBER(BC11/BA11),BC11/BA11, " - ")</f>
        <v>0.30668332292317302</v>
      </c>
      <c r="BG11" s="195">
        <f t="shared" ref="BG11:BG12" si="5">IF(ISNUMBER((AY11+AZ11)/BA11),(AY11+AZ11)/BA11," - ")</f>
        <v>2.4147407870081201</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35687</v>
      </c>
      <c r="J13" s="183">
        <f t="shared" si="6"/>
        <v>9800</v>
      </c>
      <c r="K13" s="183">
        <f t="shared" si="6"/>
        <v>12495</v>
      </c>
      <c r="L13" s="183">
        <f t="shared" si="6"/>
        <v>33845</v>
      </c>
      <c r="M13" s="183">
        <f t="shared" si="6"/>
        <v>2727</v>
      </c>
      <c r="N13" s="183">
        <f t="shared" si="6"/>
        <v>7720</v>
      </c>
      <c r="O13" s="183">
        <f t="shared" si="6"/>
        <v>4383</v>
      </c>
      <c r="P13" s="183">
        <f t="shared" si="6"/>
        <v>2572</v>
      </c>
      <c r="Q13" s="183">
        <f t="shared" si="6"/>
        <v>1653</v>
      </c>
      <c r="R13" s="183">
        <f t="shared" si="6"/>
        <v>30068</v>
      </c>
      <c r="S13" s="183">
        <f t="shared" si="6"/>
        <v>37502</v>
      </c>
      <c r="T13" s="183">
        <f t="shared" si="6"/>
        <v>15497</v>
      </c>
      <c r="U13" s="183">
        <f t="shared" si="6"/>
        <v>14413</v>
      </c>
      <c r="V13" s="183">
        <f t="shared" si="6"/>
        <v>38559</v>
      </c>
      <c r="W13" s="183">
        <f t="shared" si="6"/>
        <v>3265</v>
      </c>
      <c r="X13" s="183">
        <f t="shared" si="6"/>
        <v>9005</v>
      </c>
      <c r="Y13" s="183">
        <f t="shared" si="6"/>
        <v>703</v>
      </c>
      <c r="Z13" s="183">
        <f t="shared" si="6"/>
        <v>1133</v>
      </c>
      <c r="AA13" s="183">
        <f t="shared" si="6"/>
        <v>1128</v>
      </c>
      <c r="AB13" s="183">
        <f t="shared" si="6"/>
        <v>763</v>
      </c>
      <c r="AC13" s="183">
        <f t="shared" si="6"/>
        <v>0</v>
      </c>
      <c r="AD13" s="183">
        <f t="shared" si="6"/>
        <v>0</v>
      </c>
      <c r="AE13" s="183">
        <f t="shared" si="6"/>
        <v>0</v>
      </c>
      <c r="AF13" s="183">
        <f>SUBTOTAL(9,AF9:AF12)</f>
        <v>0</v>
      </c>
      <c r="AG13" s="183">
        <f t="shared" ref="AG13:AT13" si="7">SUBTOTAL(9,AG8:AG12)</f>
        <v>553</v>
      </c>
      <c r="AH13" s="183">
        <f t="shared" si="7"/>
        <v>1020</v>
      </c>
      <c r="AI13" s="183">
        <f t="shared" si="7"/>
        <v>1110</v>
      </c>
      <c r="AJ13" s="183">
        <f t="shared" si="7"/>
        <v>463</v>
      </c>
      <c r="AK13" s="183">
        <f t="shared" si="7"/>
        <v>0</v>
      </c>
      <c r="AL13" s="183">
        <f t="shared" si="7"/>
        <v>0</v>
      </c>
      <c r="AM13" s="183">
        <f t="shared" si="7"/>
        <v>0</v>
      </c>
      <c r="AN13" s="183">
        <f t="shared" si="7"/>
        <v>0</v>
      </c>
      <c r="AO13" s="183">
        <f t="shared" si="7"/>
        <v>26</v>
      </c>
      <c r="AP13" s="183">
        <f t="shared" si="7"/>
        <v>26</v>
      </c>
      <c r="AQ13" s="183">
        <f t="shared" si="7"/>
        <v>26</v>
      </c>
      <c r="AR13" s="183">
        <f t="shared" si="7"/>
        <v>26</v>
      </c>
      <c r="AS13" s="183">
        <f t="shared" si="7"/>
        <v>0</v>
      </c>
      <c r="AT13" s="183">
        <f t="shared" si="7"/>
        <v>0</v>
      </c>
      <c r="AU13" s="203"/>
      <c r="AV13" s="132"/>
      <c r="AW13" s="203"/>
      <c r="AX13" s="132"/>
      <c r="AY13" s="183">
        <f>SUBTOTAL(9,AY8:AY12)</f>
        <v>38055</v>
      </c>
      <c r="AZ13" s="183">
        <f>SUBTOTAL(9,AZ8:AZ12)</f>
        <v>16517</v>
      </c>
      <c r="BA13" s="183">
        <f>SUBTOTAL(9,BA8:BA12)</f>
        <v>15523</v>
      </c>
      <c r="BB13" s="183">
        <f>SUBTOTAL(9,BB8:BB12)</f>
        <v>39022</v>
      </c>
      <c r="BC13" s="183">
        <f>SUBTOTAL(9,BC8:BC12)</f>
        <v>8962</v>
      </c>
      <c r="BD13" s="204">
        <f>IF(ISNUMBER(BA13/AZ13),BA13/AZ13," - ")</f>
        <v>0.93981957982684505</v>
      </c>
      <c r="BE13" s="205">
        <f>IF(ISNUMBER(BB13/BA13),BB13/BA13, " - ")</f>
        <v>2.5138182052438318</v>
      </c>
      <c r="BF13" s="205">
        <f>IF(ISNUMBER(BC13/BA13),BC13/BA13, " - ")</f>
        <v>0.5773368549893706</v>
      </c>
      <c r="BG13" s="206">
        <f>IF(ISNUMBER((AY13+AZ13)/BA13),(AY13+AZ13)/BA13," - ")</f>
        <v>3.5155575597500484</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9524</v>
      </c>
      <c r="J15" s="182">
        <v>14833</v>
      </c>
      <c r="K15" s="182">
        <v>14486</v>
      </c>
      <c r="L15" s="182">
        <v>10003</v>
      </c>
      <c r="M15" s="182">
        <v>1667</v>
      </c>
      <c r="N15" s="182">
        <v>9471</v>
      </c>
      <c r="O15" s="180">
        <v>336</v>
      </c>
      <c r="P15" s="182">
        <v>676</v>
      </c>
      <c r="Q15" s="182">
        <v>708</v>
      </c>
      <c r="R15" s="182">
        <v>1214</v>
      </c>
      <c r="S15" s="182">
        <v>8502</v>
      </c>
      <c r="T15" s="182">
        <v>17346</v>
      </c>
      <c r="U15" s="182">
        <v>17065</v>
      </c>
      <c r="V15" s="182">
        <v>8828</v>
      </c>
      <c r="W15" s="182">
        <v>1451</v>
      </c>
      <c r="X15" s="188">
        <v>11613</v>
      </c>
      <c r="Y15" s="201">
        <v>0</v>
      </c>
      <c r="Z15" s="182">
        <v>0</v>
      </c>
      <c r="AA15" s="182">
        <v>0</v>
      </c>
      <c r="AB15" s="182">
        <v>0</v>
      </c>
      <c r="AC15" s="182">
        <v>3</v>
      </c>
      <c r="AD15" s="182">
        <v>230</v>
      </c>
      <c r="AE15" s="182">
        <v>230</v>
      </c>
      <c r="AF15" s="188">
        <v>3</v>
      </c>
      <c r="AG15" s="201">
        <v>0</v>
      </c>
      <c r="AH15" s="182">
        <v>0</v>
      </c>
      <c r="AI15" s="182">
        <v>0</v>
      </c>
      <c r="AJ15" s="202">
        <v>0</v>
      </c>
      <c r="AK15" s="181">
        <v>4</v>
      </c>
      <c r="AL15" s="182">
        <v>180</v>
      </c>
      <c r="AM15" s="182">
        <v>180</v>
      </c>
      <c r="AN15" s="188">
        <v>4</v>
      </c>
      <c r="AO15" s="258">
        <v>14</v>
      </c>
      <c r="AP15" s="154">
        <v>14</v>
      </c>
      <c r="AQ15" s="154">
        <v>14</v>
      </c>
      <c r="AR15" s="154">
        <v>14</v>
      </c>
      <c r="AS15" s="339" t="s">
        <v>522</v>
      </c>
      <c r="AT15" s="202" t="s">
        <v>326</v>
      </c>
      <c r="AU15" s="201"/>
      <c r="AV15" s="202"/>
      <c r="AW15" s="201"/>
      <c r="AX15" s="202"/>
      <c r="AY15" s="128">
        <f t="shared" ref="AY15:BB16" si="9">IF(ISNUMBER(IF(D_I="SI",S15,S15+AK15)),IF(D_I="SI",S15,S15+AK15)," - ")</f>
        <v>8502</v>
      </c>
      <c r="AZ15" s="129">
        <f t="shared" si="9"/>
        <v>17346</v>
      </c>
      <c r="BA15" s="129">
        <f t="shared" si="9"/>
        <v>17065</v>
      </c>
      <c r="BB15" s="129">
        <f t="shared" si="9"/>
        <v>8828</v>
      </c>
      <c r="BC15" s="125">
        <f>IF(ISNUMBER(W15),W15," - ")</f>
        <v>1451</v>
      </c>
      <c r="BD15" s="126">
        <f>IF(ISNUMBER(BA15/AZ15),BA15/AZ15," - ")</f>
        <v>0.98380029978092931</v>
      </c>
      <c r="BE15" s="127">
        <f>IF(ISNUMBER(BB15/BA15),BB15/BA15, " - ")</f>
        <v>0.51731614415470262</v>
      </c>
      <c r="BF15" s="127">
        <f>IF(ISNUMBER(BC15/BA15),BC15/BA15, " - ")</f>
        <v>8.5027834749487261E-2</v>
      </c>
      <c r="BG15" s="195">
        <f t="shared" ref="BG15:BG16" si="10">IF(ISNUMBER((AY15+AZ15)/BA15),(AY15+AZ15)/BA15," - ")</f>
        <v>1.5146791678874889</v>
      </c>
      <c r="BH15" s="154">
        <v>14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1239</v>
      </c>
      <c r="J17" s="182">
        <v>1936</v>
      </c>
      <c r="K17" s="182">
        <v>2041</v>
      </c>
      <c r="L17" s="182">
        <v>1142</v>
      </c>
      <c r="M17" s="182">
        <v>105</v>
      </c>
      <c r="N17" s="182">
        <v>1086</v>
      </c>
      <c r="O17" s="182">
        <v>3</v>
      </c>
      <c r="P17" s="182">
        <v>10</v>
      </c>
      <c r="Q17" s="182">
        <v>6</v>
      </c>
      <c r="R17" s="182">
        <v>24</v>
      </c>
      <c r="S17" s="182">
        <v>932</v>
      </c>
      <c r="T17" s="182">
        <v>1786</v>
      </c>
      <c r="U17" s="182">
        <v>1890</v>
      </c>
      <c r="V17" s="182">
        <v>828</v>
      </c>
      <c r="W17" s="182">
        <v>108</v>
      </c>
      <c r="X17" s="188">
        <v>1130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3">
        <v>4</v>
      </c>
      <c r="AR17" s="154">
        <v>4</v>
      </c>
      <c r="AS17" s="338" t="s">
        <v>784</v>
      </c>
      <c r="AT17" s="208"/>
      <c r="AU17" s="199"/>
      <c r="AV17" s="208"/>
      <c r="AW17" s="199"/>
      <c r="AX17" s="208"/>
      <c r="AY17" s="128">
        <f t="shared" ref="AY17:BB17" si="14">IF(ISNUMBER(S17),S17," - ")</f>
        <v>932</v>
      </c>
      <c r="AZ17" s="129">
        <f t="shared" si="14"/>
        <v>1786</v>
      </c>
      <c r="BA17" s="129">
        <f t="shared" si="14"/>
        <v>1890</v>
      </c>
      <c r="BB17" s="129">
        <f t="shared" si="14"/>
        <v>828</v>
      </c>
      <c r="BC17" s="125">
        <f>IF(ISNUMBER(W17),W17," - ")</f>
        <v>108</v>
      </c>
      <c r="BD17" s="126">
        <f>IF(ISNUMBER(BA17/AZ17),BA17/AZ17," - ")</f>
        <v>1.0582306830907056</v>
      </c>
      <c r="BE17" s="127">
        <f>IF(ISNUMBER(BB17/BA17),BB17/BA17, " - ")</f>
        <v>0.43809523809523809</v>
      </c>
      <c r="BF17" s="127">
        <f>IF(ISNUMBER(BC17/BA17),BC17/BA17, " - ")</f>
        <v>5.7142857142857141E-2</v>
      </c>
      <c r="BG17" s="195">
        <f>IF(ISNUMBER((AY17+AZ17)/BA17),(AY17+AZ17)/BA17," - ")</f>
        <v>1.4380952380952381</v>
      </c>
      <c r="BH17" s="154">
        <v>4</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10763</v>
      </c>
      <c r="J18" s="183">
        <f t="shared" si="15"/>
        <v>16769</v>
      </c>
      <c r="K18" s="183">
        <f t="shared" si="15"/>
        <v>16527</v>
      </c>
      <c r="L18" s="183">
        <f t="shared" si="15"/>
        <v>11145</v>
      </c>
      <c r="M18" s="183">
        <f t="shared" si="15"/>
        <v>1772</v>
      </c>
      <c r="N18" s="183">
        <f t="shared" si="15"/>
        <v>10557</v>
      </c>
      <c r="O18" s="183">
        <f t="shared" si="15"/>
        <v>339</v>
      </c>
      <c r="P18" s="183">
        <f t="shared" si="15"/>
        <v>686</v>
      </c>
      <c r="Q18" s="183">
        <f t="shared" si="15"/>
        <v>714</v>
      </c>
      <c r="R18" s="183">
        <f t="shared" si="15"/>
        <v>1238</v>
      </c>
      <c r="S18" s="183">
        <f t="shared" si="15"/>
        <v>9434</v>
      </c>
      <c r="T18" s="183">
        <f t="shared" si="15"/>
        <v>19132</v>
      </c>
      <c r="U18" s="183">
        <f t="shared" si="15"/>
        <v>18955</v>
      </c>
      <c r="V18" s="183">
        <f t="shared" si="15"/>
        <v>9656</v>
      </c>
      <c r="W18" s="183">
        <f t="shared" si="15"/>
        <v>1559</v>
      </c>
      <c r="X18" s="183">
        <f t="shared" si="15"/>
        <v>12743</v>
      </c>
      <c r="Y18" s="183">
        <f t="shared" si="15"/>
        <v>0</v>
      </c>
      <c r="Z18" s="183">
        <f t="shared" si="15"/>
        <v>0</v>
      </c>
      <c r="AA18" s="183">
        <f t="shared" si="15"/>
        <v>0</v>
      </c>
      <c r="AB18" s="183">
        <f t="shared" si="15"/>
        <v>0</v>
      </c>
      <c r="AC18" s="183">
        <f t="shared" si="15"/>
        <v>3</v>
      </c>
      <c r="AD18" s="183">
        <f t="shared" si="15"/>
        <v>230</v>
      </c>
      <c r="AE18" s="183">
        <f t="shared" si="15"/>
        <v>230</v>
      </c>
      <c r="AF18" s="183">
        <f t="shared" si="15"/>
        <v>3</v>
      </c>
      <c r="AG18" s="183">
        <f t="shared" si="15"/>
        <v>0</v>
      </c>
      <c r="AH18" s="183">
        <f t="shared" si="15"/>
        <v>0</v>
      </c>
      <c r="AI18" s="183">
        <f t="shared" si="15"/>
        <v>0</v>
      </c>
      <c r="AJ18" s="183">
        <f t="shared" si="15"/>
        <v>0</v>
      </c>
      <c r="AK18" s="183">
        <f t="shared" si="15"/>
        <v>4</v>
      </c>
      <c r="AL18" s="183">
        <f t="shared" si="15"/>
        <v>180</v>
      </c>
      <c r="AM18" s="183">
        <f t="shared" si="15"/>
        <v>180</v>
      </c>
      <c r="AN18" s="183">
        <f t="shared" si="15"/>
        <v>4</v>
      </c>
      <c r="AO18" s="183">
        <f t="shared" si="15"/>
        <v>18</v>
      </c>
      <c r="AP18" s="183">
        <f t="shared" si="15"/>
        <v>18</v>
      </c>
      <c r="AQ18" s="183">
        <f t="shared" si="15"/>
        <v>18</v>
      </c>
      <c r="AR18" s="183">
        <f t="shared" si="15"/>
        <v>18</v>
      </c>
      <c r="AS18" s="183">
        <f t="shared" si="15"/>
        <v>0</v>
      </c>
      <c r="AT18" s="183">
        <f t="shared" si="15"/>
        <v>0</v>
      </c>
      <c r="AU18" s="203"/>
      <c r="AV18" s="132"/>
      <c r="AW18" s="203"/>
      <c r="AX18" s="132"/>
      <c r="AY18" s="183">
        <f>SUBTOTAL(9,AY14:AY17)</f>
        <v>9434</v>
      </c>
      <c r="AZ18" s="183">
        <f>SUBTOTAL(9,AZ14:AZ17)</f>
        <v>19132</v>
      </c>
      <c r="BA18" s="183">
        <f>SUBTOTAL(9,BA14:BA17)</f>
        <v>18955</v>
      </c>
      <c r="BB18" s="183">
        <f>SUBTOTAL(9,BB14:BB17)</f>
        <v>9656</v>
      </c>
      <c r="BC18" s="183">
        <f>SUBTOTAL(9,BC14:BC17)</f>
        <v>1559</v>
      </c>
      <c r="BD18" s="204">
        <f>IF(ISNUMBER(BA18/AZ18),BA18/AZ18," - ")</f>
        <v>0.99074848421492789</v>
      </c>
      <c r="BE18" s="205">
        <f>IF(ISNUMBER(BB18/BA18),BB18/BA18, " - ")</f>
        <v>0.50941704035874436</v>
      </c>
      <c r="BF18" s="205">
        <f>IF(ISNUMBER(BC18/BA18),BC18/BA18, " - ")</f>
        <v>8.2247428119229748E-2</v>
      </c>
      <c r="BG18" s="206">
        <f>IF(ISNUMBER((AY18+AZ18)/BA18),(AY18+AZ18)/BA18," - ")</f>
        <v>1.5070429965708256</v>
      </c>
      <c r="BH18" s="183">
        <f>SUBTOTAL(9,BH14:BH17)</f>
        <v>18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46450</v>
      </c>
      <c r="J19" s="134">
        <f t="shared" si="18"/>
        <v>26569</v>
      </c>
      <c r="K19" s="134">
        <f t="shared" si="18"/>
        <v>29022</v>
      </c>
      <c r="L19" s="134">
        <f t="shared" si="18"/>
        <v>44990</v>
      </c>
      <c r="M19" s="134">
        <f t="shared" si="18"/>
        <v>4499</v>
      </c>
      <c r="N19" s="134">
        <f t="shared" si="18"/>
        <v>18277</v>
      </c>
      <c r="O19" s="134">
        <f t="shared" si="18"/>
        <v>4722</v>
      </c>
      <c r="P19" s="134">
        <f t="shared" si="18"/>
        <v>3258</v>
      </c>
      <c r="Q19" s="134">
        <f t="shared" si="18"/>
        <v>2367</v>
      </c>
      <c r="R19" s="134">
        <f t="shared" si="18"/>
        <v>31306</v>
      </c>
      <c r="S19" s="134">
        <f t="shared" si="18"/>
        <v>46936</v>
      </c>
      <c r="T19" s="134">
        <f t="shared" si="18"/>
        <v>34629</v>
      </c>
      <c r="U19" s="134">
        <f t="shared" si="18"/>
        <v>33368</v>
      </c>
      <c r="V19" s="134">
        <f t="shared" si="18"/>
        <v>48215</v>
      </c>
      <c r="W19" s="134">
        <f t="shared" si="18"/>
        <v>4824</v>
      </c>
      <c r="X19" s="134">
        <f t="shared" si="18"/>
        <v>21748</v>
      </c>
      <c r="Y19" s="134">
        <f t="shared" si="18"/>
        <v>703</v>
      </c>
      <c r="Z19" s="134">
        <f t="shared" si="18"/>
        <v>1133</v>
      </c>
      <c r="AA19" s="134">
        <f t="shared" si="18"/>
        <v>1128</v>
      </c>
      <c r="AB19" s="134">
        <f t="shared" si="18"/>
        <v>763</v>
      </c>
      <c r="AC19" s="134">
        <f t="shared" si="18"/>
        <v>3</v>
      </c>
      <c r="AD19" s="134">
        <f t="shared" si="18"/>
        <v>230</v>
      </c>
      <c r="AE19" s="134">
        <f t="shared" si="18"/>
        <v>230</v>
      </c>
      <c r="AF19" s="134">
        <f t="shared" si="18"/>
        <v>3</v>
      </c>
      <c r="AG19" s="134">
        <f t="shared" si="18"/>
        <v>553</v>
      </c>
      <c r="AH19" s="134">
        <f t="shared" si="18"/>
        <v>1020</v>
      </c>
      <c r="AI19" s="134">
        <f t="shared" si="18"/>
        <v>1110</v>
      </c>
      <c r="AJ19" s="134">
        <f t="shared" si="18"/>
        <v>463</v>
      </c>
      <c r="AK19" s="134">
        <f t="shared" si="18"/>
        <v>4</v>
      </c>
      <c r="AL19" s="134">
        <f t="shared" si="18"/>
        <v>180</v>
      </c>
      <c r="AM19" s="134">
        <f t="shared" si="18"/>
        <v>180</v>
      </c>
      <c r="AN19" s="209">
        <f t="shared" si="18"/>
        <v>4</v>
      </c>
      <c r="AO19" s="210">
        <v>40</v>
      </c>
      <c r="AP19" s="210">
        <v>40</v>
      </c>
      <c r="AQ19" s="210">
        <v>40</v>
      </c>
      <c r="AR19" s="210">
        <v>40</v>
      </c>
      <c r="AS19" s="152">
        <f t="shared" si="18"/>
        <v>0</v>
      </c>
      <c r="AT19" s="152">
        <f t="shared" si="18"/>
        <v>0</v>
      </c>
      <c r="AU19" s="210"/>
      <c r="AV19" s="211"/>
      <c r="AW19" s="210"/>
      <c r="AX19" s="211"/>
      <c r="AY19" s="133">
        <f>SUBTOTAL(9,AY9:AY18)</f>
        <v>47489</v>
      </c>
      <c r="AZ19" s="134">
        <f>SUBTOTAL(9,AZ9:AZ18)</f>
        <v>35649</v>
      </c>
      <c r="BA19" s="134">
        <f>SUBTOTAL(9,BA9:BA18)</f>
        <v>34478</v>
      </c>
      <c r="BB19" s="134">
        <f>SUBTOTAL(9,BB9:BB18)</f>
        <v>48678</v>
      </c>
      <c r="BC19" s="135">
        <f>SUBTOTAL(9,BC9:BC18)</f>
        <v>10521</v>
      </c>
      <c r="BD19" s="212">
        <f>IF(ISNUMBER(BA19/AZ19),BA19/AZ19," - ")</f>
        <v>0.96715195377149432</v>
      </c>
      <c r="BE19" s="209">
        <f>IF(ISNUMBER(BB19/BA19),BB19/BA19, " - ")</f>
        <v>1.4118568362434016</v>
      </c>
      <c r="BF19" s="209">
        <f>IF(ISNUMBER(BC19/BA19),BC19/BA19, " - ")</f>
        <v>0.30515111085329777</v>
      </c>
      <c r="BG19" s="135">
        <f>IF(ISNUMBER((AY19+AZ19)/BA19),(AY19+AZ19)/BA19," - ")</f>
        <v>2.4113347641974592</v>
      </c>
      <c r="BH19" s="210">
        <f>SUBTOTAL(9,BH9:BH18)</f>
        <v>44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PiL0I5Gp3La/huRUd0pwnzUjz+rTprx5BAL0jlHezKdVxfeoga6+HEzEXA2EDX6zxckfxcFA1JMv8P00wX28g==" saltValue="9lPp2GNK3kdAIVruWNet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ZfSEgXCp2mclBMziAVIonRq8Tm6Z9/rWk3R40VwqrBNkonj/9Ya54vD/vUjEQVl6QPyayOqkHfjiYOI9BWg==" saltValue="CtqdSN+qFiqrH2NvRhCb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MALAGA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18</v>
      </c>
      <c r="B9" s="500" t="s">
        <v>246</v>
      </c>
      <c r="C9" s="159" t="str">
        <f>Datos!A9</f>
        <v xml:space="preserve">Jdos. 1ª Instancia   </v>
      </c>
      <c r="D9" s="501"/>
      <c r="E9" s="259">
        <f>IF(ISNUMBER(Datos!AQ9),Datos!AQ9," - ")</f>
        <v>18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1012</v>
      </c>
      <c r="O9" s="333"/>
      <c r="P9" s="333"/>
      <c r="Q9" s="225">
        <f>IF(ISNUMBER(Datos!P9),Datos!P9,0)</f>
        <v>2343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1437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588</v>
      </c>
      <c r="AI9" s="333" t="str">
        <f>IF(ISNUMBER(Datos!CD9),Datos!CD9,"-")</f>
        <v>-</v>
      </c>
      <c r="AJ9" s="333" t="str">
        <f>IF(ISNUMBER(Datos!EN9),Datos!EN9," - ")</f>
        <v xml:space="preserve"> - </v>
      </c>
      <c r="AK9" s="333"/>
      <c r="AL9" s="478"/>
      <c r="AM9" s="334">
        <f>IF(ISNUMBER(Datos!R9),Datos!R9," - ")</f>
        <v>27620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1950</v>
      </c>
      <c r="BD9" s="228">
        <f>IF(ISNUMBER(Datos!N9),Datos!N9," - ")</f>
        <v>7050</v>
      </c>
      <c r="BE9" s="228" t="str">
        <f>IF(ISNUMBER(Datos!BW9),Datos!BW9," - ")</f>
        <v xml:space="preserve"> - </v>
      </c>
      <c r="BF9" s="227" t="str">
        <f>IF(ISNUMBER(Datos!BX9),Datos!BX9," - ")</f>
        <v xml:space="preserve"> - </v>
      </c>
      <c r="BG9" s="242">
        <f>IF(ISNUMBER(IF(J_V="SI",Datos!K9/Datos!J9,(Datos!K9+Datos!AA9)/(Datos!J9+Datos!Z9))),IF(J_V="SI",Datos!K9/Datos!J9,(Datos!K9+Datos!AA9)/(Datos!J9+Datos!Z9))," - ")</f>
        <v>1.2233141662310507</v>
      </c>
      <c r="BH9" s="259">
        <f>IF(ISNUMBER(((IF(J_V="SI",Datos!L9/Datos!K9,(Datos!L9+Datos!AB9)/(Datos!K9+Datos!AA9)))*11)/factor_trimestre),((IF(J_V="SI",Datos!L9/Datos!K9,(Datos!L9+Datos!AB9)/(Datos!K9+Datos!AA9)))*11)/factor_trimestre," - ")</f>
        <v>8.3480044440646104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3.3914801227820618E-2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4</v>
      </c>
      <c r="B10" s="506" t="s">
        <v>246</v>
      </c>
      <c r="C10" s="7" t="str">
        <f>Datos!A10</f>
        <v>Jdos. Violencia contra la mujer/Secc Viol. TI.</v>
      </c>
      <c r="D10" s="507"/>
      <c r="E10" s="259">
        <f>IF(ISNUMBER(Datos!AQ10),Datos!AQ10," - ")</f>
        <v>4</v>
      </c>
      <c r="F10" s="224">
        <f>IF(ISNUMBER(Datos!L10+Datos!K10-Datos!J10),Datos!L10+Datos!K10-Datos!J10," - ")</f>
        <v>399</v>
      </c>
      <c r="G10" s="332">
        <f>IF(ISNUMBER(Datos!I10),Datos!I10," - ")</f>
        <v>400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256</v>
      </c>
      <c r="AC10" s="225">
        <f>IF(ISNUMBER(Datos!Q10),Datos!Q10," - ")</f>
        <v>23</v>
      </c>
      <c r="AD10" s="333"/>
      <c r="AE10" s="483"/>
      <c r="AF10" s="331">
        <f>IF(ISNUMBER(Datos!L10),Datos!L10,"-")</f>
        <v>345</v>
      </c>
      <c r="AG10" s="333"/>
      <c r="AH10" s="333"/>
      <c r="AI10" s="333"/>
      <c r="AJ10" s="333"/>
      <c r="AK10" s="333"/>
      <c r="AL10" s="478"/>
      <c r="AM10" s="334">
        <f>IF(ISNUMBER(Datos!R10),Datos!R10," - ")</f>
        <v>404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102</v>
      </c>
      <c r="BD10" s="228">
        <f>IF(ISNUMBER(Datos!N10),Datos!N10," - ")</f>
        <v>125</v>
      </c>
      <c r="BE10" s="228" t="str">
        <f>IF(ISNUMBER(Datos!BW10),Datos!BW10," - ")</f>
        <v xml:space="preserve"> - </v>
      </c>
      <c r="BF10" s="227" t="str">
        <f>IF(ISNUMBER(Datos!BX10),Datos!BX10," - ")</f>
        <v xml:space="preserve"> - </v>
      </c>
      <c r="BG10" s="242">
        <f>IF(ISNUMBER(Datos!K10/Datos!J10),Datos!K10/Datos!J10," - ")</f>
        <v>1.2673267326732673</v>
      </c>
      <c r="BH10" s="259">
        <f>IF(ISNUMBER(((Datos!L10/Datos!K10)*11)/factor_trimestre),((Datos!L10/Datos!K10)*11)/factor_trimestre," - ")</f>
        <v>4.04296875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5.4830287206266322E-2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121</v>
      </c>
      <c r="O11" s="333"/>
      <c r="P11" s="333"/>
      <c r="Q11" s="225">
        <f>IF(ISNUMBER(Datos!P11),Datos!P11,0)</f>
        <v>185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193</v>
      </c>
      <c r="AD11" s="333"/>
      <c r="AE11" s="483"/>
      <c r="AF11" s="331" t="str">
        <f>IF(ISNUMBER(IF(J_V="SI",Datos!L11,Datos!L11+Datos!AB11)-IF(Monitorios="SI",Datos!CD11,0)),
                          IF(J_V="SI",Datos!L11,Datos!L11+Datos!AB11)-IF(Monitorios="SI",Datos!CD11,0),
                          " - ")</f>
        <v xml:space="preserve"> - </v>
      </c>
      <c r="AG11" s="333"/>
      <c r="AH11" s="333">
        <f>IF(ISNUMBER(Datos!AB11),Datos!AB11,"-")</f>
        <v>175</v>
      </c>
      <c r="AI11" s="333"/>
      <c r="AJ11" s="333"/>
      <c r="AK11" s="333"/>
      <c r="AL11" s="478"/>
      <c r="AM11" s="334">
        <f>IF(ISNUMBER(Datos!R11),Datos!R11," - ")</f>
        <v>2044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675</v>
      </c>
      <c r="BD11" s="228">
        <f>IF(ISNUMBER(Datos!N11),Datos!N11," - ")</f>
        <v>545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1.4288164665523155</v>
      </c>
      <c r="BH11" s="259">
        <f>IF(ISNUMBER(((IF(J_V="SI",Datos!L11/Datos!K11,(Datos!L11+Datos!AB11)/(Datos!K11+Datos!AA11)))*11)/factor_trimestre),((IF(J_V="SI",Datos!L11/Datos!K11,(Datos!L11+Datos!AB11)/(Datos!K11+Datos!AA11)))*11)/factor_trimestre," - ")</f>
        <v>3.0666266506602642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-3.8986354775828458E-3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26</v>
      </c>
      <c r="F13" s="897">
        <f t="shared" si="0"/>
        <v>399</v>
      </c>
      <c r="G13" s="897">
        <f t="shared" si="0"/>
        <v>400</v>
      </c>
      <c r="H13" s="898">
        <f t="shared" si="0"/>
        <v>0</v>
      </c>
      <c r="I13" s="897">
        <f t="shared" si="0"/>
        <v>0</v>
      </c>
      <c r="J13" s="866">
        <f t="shared" si="0"/>
        <v>0</v>
      </c>
      <c r="K13" s="866">
        <f t="shared" si="0"/>
        <v>0</v>
      </c>
      <c r="L13" s="898">
        <f t="shared" si="0"/>
        <v>0</v>
      </c>
      <c r="M13" s="898">
        <f t="shared" si="0"/>
        <v>0</v>
      </c>
      <c r="N13" s="898">
        <f t="shared" si="0"/>
        <v>1133</v>
      </c>
      <c r="O13" s="899">
        <f t="shared" si="0"/>
        <v>0</v>
      </c>
      <c r="P13" s="899">
        <f t="shared" si="0"/>
        <v>0</v>
      </c>
      <c r="Q13" s="898">
        <f t="shared" si="0"/>
        <v>2572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256</v>
      </c>
      <c r="AC13" s="898">
        <f t="shared" si="1"/>
        <v>1653</v>
      </c>
      <c r="AD13" s="898">
        <f t="shared" si="1"/>
        <v>0</v>
      </c>
      <c r="AE13" s="898">
        <f t="shared" si="1"/>
        <v>0</v>
      </c>
      <c r="AF13" s="898">
        <f t="shared" si="1"/>
        <v>345</v>
      </c>
      <c r="AG13" s="898">
        <f t="shared" si="1"/>
        <v>0</v>
      </c>
      <c r="AH13" s="898">
        <f t="shared" si="1"/>
        <v>763</v>
      </c>
      <c r="AI13" s="898">
        <f t="shared" si="1"/>
        <v>0</v>
      </c>
      <c r="AJ13" s="898">
        <f t="shared" si="1"/>
        <v>0</v>
      </c>
      <c r="AK13" s="898">
        <f t="shared" si="1"/>
        <v>0</v>
      </c>
      <c r="AL13" s="898">
        <f t="shared" si="1"/>
        <v>0</v>
      </c>
      <c r="AM13" s="898">
        <f t="shared" si="1"/>
        <v>30068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2727</v>
      </c>
      <c r="BD13" s="898">
        <f t="shared" si="1"/>
        <v>7720</v>
      </c>
      <c r="BE13" s="898">
        <f t="shared" si="1"/>
        <v>0</v>
      </c>
      <c r="BF13" s="898">
        <f t="shared" si="1"/>
        <v>0</v>
      </c>
      <c r="BG13" s="898">
        <f>IF(ISNUMBER(Datos!K13/Datos!J13),Datos!K13/Datos!J13," - ")</f>
        <v>1.2749999999999999</v>
      </c>
      <c r="BH13" s="902">
        <f>IF(ISNUMBER(((Datos!L13/Datos!K13)*11)/factor_trimestre),((Datos!L13/Datos!K13)*11)/factor_trimestre," - ")</f>
        <v>8.1260504201680686</v>
      </c>
      <c r="BI13" s="898">
        <f>IF(ISNUMBER('Resol  Asuntos'!D13/NºAsuntos!G13),'Resol  Asuntos'!D13/NºAsuntos!G13," - ")</f>
        <v>0.20017617264919621</v>
      </c>
      <c r="BJ13" s="898" t="str">
        <f>IF(ISNUMBER(Datos!CI13/Datos!CJ13),Datos!CI13/Datos!CJ13," - ")</f>
        <v xml:space="preserve"> - </v>
      </c>
      <c r="BK13" s="898">
        <f>SUBTOTAL(9,BK8:BK12)</f>
        <v>0</v>
      </c>
      <c r="BL13" s="898">
        <f>IF(ISNUMBER((I13-AB13+L13)/(F13)),(I13-AB13+L13)/(F13)," - ")</f>
        <v>-0.64160401002506262</v>
      </c>
      <c r="BM13" s="903">
        <f>SUBTOTAL(9,BM9:BM12)</f>
        <v>8.4846452956504087E-2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14</v>
      </c>
      <c r="B15" s="593" t="s">
        <v>396</v>
      </c>
      <c r="C15" s="599" t="str">
        <f>Datos!A15</f>
        <v xml:space="preserve">Jdos. Instrucción                               </v>
      </c>
      <c r="D15" s="600"/>
      <c r="E15" s="1164">
        <f>IF(ISNUMBER(Datos!AQ15),Datos!AQ15," - ")</f>
        <v>14</v>
      </c>
      <c r="F15" s="594">
        <f>IF(ISNUMBER(AF15+AB15-Datos!J15-L15),AF15+AB15-Datos!J15-L15," - ")</f>
        <v>9656</v>
      </c>
      <c r="G15" s="597">
        <f>IF(ISNUMBER(IF(D_I="SI",Datos!I15,Datos!I15+Datos!AC15)),IF(D_I="SI",Datos!I15,Datos!I15+Datos!AC15)," - ")</f>
        <v>9524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676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14486</v>
      </c>
      <c r="AC15" s="225">
        <f>IF(ISNUMBER(Datos!Q15),Datos!Q15," - ")</f>
        <v>708</v>
      </c>
      <c r="AD15" s="333"/>
      <c r="AE15" s="483"/>
      <c r="AF15" s="595">
        <f>IF(ISNUMBER(IF(D_I="SI",Datos!L15,Datos!L15+Datos!AF15)),IF(D_I="SI",Datos!L15,Datos!L15+Datos!AF15)," - ")</f>
        <v>10003</v>
      </c>
      <c r="AG15" s="333"/>
      <c r="AH15" s="333"/>
      <c r="AI15" s="333"/>
      <c r="AJ15" s="333"/>
      <c r="AK15" s="333"/>
      <c r="AL15" s="478"/>
      <c r="AM15" s="334">
        <f>IF(ISNUMBER(Datos!R15),Datos!R15," - ")</f>
        <v>1214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1667</v>
      </c>
      <c r="BD15" s="228">
        <f>IF(ISNUMBER(Datos!N15),Datos!N15," - ")</f>
        <v>9471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0.9766062158700195</v>
      </c>
      <c r="BH15" s="259">
        <f>IF(ISNUMBER(((IF(D_I="SI",Datos!L15/Datos!K15,(Datos!L15+Datos!AF15)/(Datos!K15+Datos!AE15)))*11)/factor_trimestre),((IF(D_I="SI",Datos!L15/Datos!K15,(Datos!L15+Datos!AF15)/(Datos!K15+Datos!AE15)))*11)/factor_trimestre," - ")</f>
        <v>2.0715863592434074</v>
      </c>
      <c r="BI15" s="242">
        <f>IF(ISNUMBER('Resol  Asuntos'!D15/NºAsuntos!G15),'Resol  Asuntos'!D15/NºAsuntos!G15," - ")</f>
        <v>0.11507662570757973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4</v>
      </c>
      <c r="B17" s="506" t="s">
        <v>396</v>
      </c>
      <c r="C17" s="7" t="str">
        <f>Datos!A17</f>
        <v>Jdos. Violencia contra la mujer/Secc Viol. TI.</v>
      </c>
      <c r="D17" s="507"/>
      <c r="E17" s="1024">
        <f>IF(ISNUMBER(Datos!AQ17),Datos!AQ17," - ")</f>
        <v>4</v>
      </c>
      <c r="F17" s="224" t="str">
        <f>IF(ISNUMBER(AF17+AB17-I17-L17),AF17+AB17-I17-L17," - ")</f>
        <v xml:space="preserve"> - </v>
      </c>
      <c r="G17" s="332">
        <f>IF(ISNUMBER(IF(D_I="SI",Datos!I17,Datos!I17+Datos!AC17)),IF(D_I="SI",Datos!I17,Datos!I17+Datos!AC17)," - ")</f>
        <v>1239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2041</v>
      </c>
      <c r="AC17" s="225">
        <f>IF(ISNUMBER(Datos!Q17),Datos!Q17," - ")</f>
        <v>6</v>
      </c>
      <c r="AD17" s="333"/>
      <c r="AE17" s="483"/>
      <c r="AF17" s="331">
        <f>IF(ISNUMBER(Datos!L17),Datos!L17,"-")</f>
        <v>1142</v>
      </c>
      <c r="AG17" s="333"/>
      <c r="AH17" s="333"/>
      <c r="AI17" s="333"/>
      <c r="AJ17" s="333"/>
      <c r="AK17" s="333"/>
      <c r="AL17" s="478"/>
      <c r="AM17" s="334">
        <f>IF(ISNUMBER(Datos!R17),Datos!R17," - ")</f>
        <v>24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105</v>
      </c>
      <c r="BD17" s="228">
        <f>IF(ISNUMBER(Datos!N17),Datos!N17," - ")</f>
        <v>1086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1.0542355371900827</v>
      </c>
      <c r="BH17" s="259">
        <f>IF(ISNUMBER(((IF(D_I="SI",Datos!L17/Datos!K17,(Datos!L17+Datos!AF17)/(Datos!K17+Datos!AE17)))*11)/factor_trimestre),((IF(D_I="SI",Datos!L17/Datos!K17,(Datos!L17+Datos!AF17)/(Datos!K17+Datos!AE17)))*11)/factor_trimestre," - ")</f>
        <v>1.6785889269965706</v>
      </c>
      <c r="BI17" s="242">
        <f>IF(ISNUMBER('Resol  Asuntos'!D17/NºAsuntos!G17),'Resol  Asuntos'!D17/NºAsuntos!G17," - ")</f>
        <v>5.1445369916707499E-2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18</v>
      </c>
      <c r="F18" s="897">
        <f>SUBTOTAL(9,F15:F17)</f>
        <v>9656</v>
      </c>
      <c r="G18" s="897">
        <f>SUBTOTAL(9,G15:G17)</f>
        <v>10763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16527</v>
      </c>
      <c r="AC18" s="898">
        <f t="shared" si="4"/>
        <v>714</v>
      </c>
      <c r="AD18" s="898">
        <f t="shared" si="4"/>
        <v>0</v>
      </c>
      <c r="AE18" s="898">
        <f t="shared" si="4"/>
        <v>0</v>
      </c>
      <c r="AF18" s="898">
        <f t="shared" si="4"/>
        <v>11145</v>
      </c>
      <c r="AG18" s="898">
        <f t="shared" si="4"/>
        <v>0</v>
      </c>
      <c r="AH18" s="898">
        <f t="shared" si="4"/>
        <v>0</v>
      </c>
      <c r="AI18" s="898">
        <f t="shared" si="4"/>
        <v>0</v>
      </c>
      <c r="AJ18" s="898">
        <f t="shared" si="4"/>
        <v>0</v>
      </c>
      <c r="AK18" s="898">
        <f t="shared" si="4"/>
        <v>0</v>
      </c>
      <c r="AL18" s="898">
        <f t="shared" si="4"/>
        <v>0</v>
      </c>
      <c r="AM18" s="898">
        <f t="shared" si="4"/>
        <v>1238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1772</v>
      </c>
      <c r="BD18" s="898">
        <f t="shared" si="4"/>
        <v>10557</v>
      </c>
      <c r="BE18" s="898">
        <f t="shared" si="4"/>
        <v>0</v>
      </c>
      <c r="BF18" s="898">
        <f t="shared" si="4"/>
        <v>0</v>
      </c>
      <c r="BG18" s="898">
        <f>IF(ISNUMBER(Datos!K18/Datos!J18),Datos!K18/Datos!J18," - ")</f>
        <v>0.98556860874232211</v>
      </c>
      <c r="BH18" s="902">
        <f>IF(ISNUMBER(((Datos!L18/Datos!K18)*11)/factor_trimestre),((Datos!L18/Datos!K18)*11)/factor_trimestre," - ")</f>
        <v>2.0230531856961336</v>
      </c>
      <c r="BI18" s="898">
        <f>SUBTOTAL(9,BI15:BI17)</f>
        <v>0.16652199562428724</v>
      </c>
      <c r="BJ18" s="898">
        <f>SUBTOTAL(9,BJ15:BJ17)</f>
        <v>0</v>
      </c>
      <c r="BK18" s="898">
        <f>SUBTOTAL(9,BK15:BK17)</f>
        <v>0</v>
      </c>
      <c r="BL18" s="898">
        <f>IF(ISNUMBER((I18-AB18+L18)/(F18)),(I18-AB18+L18)/(F18)," - ")</f>
        <v>-1.7115782932891466</v>
      </c>
      <c r="BM18" s="904">
        <f>IF(ISNUMBER((Datos!P18-Datos!Q18)/(Datos!R18-Datos!P18+Datos!Q18)),(Datos!P18-Datos!Q18)/(Datos!R18-Datos!P18+Datos!Q18)," - ")</f>
        <v>-2.2116903633491312E-2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44</v>
      </c>
      <c r="F19" s="819">
        <f t="shared" si="6"/>
        <v>10055</v>
      </c>
      <c r="G19" s="819">
        <f t="shared" si="6"/>
        <v>11163</v>
      </c>
      <c r="H19" s="821">
        <f t="shared" si="6"/>
        <v>0</v>
      </c>
      <c r="I19" s="819">
        <f t="shared" si="6"/>
        <v>0</v>
      </c>
      <c r="J19" s="821">
        <f t="shared" si="6"/>
        <v>0</v>
      </c>
      <c r="K19" s="821">
        <f t="shared" si="6"/>
        <v>0</v>
      </c>
      <c r="L19" s="880">
        <f t="shared" si="6"/>
        <v>0</v>
      </c>
      <c r="M19" s="880">
        <f t="shared" si="6"/>
        <v>0</v>
      </c>
      <c r="N19" s="880">
        <f t="shared" si="6"/>
        <v>1133</v>
      </c>
      <c r="O19" s="880">
        <f t="shared" si="6"/>
        <v>0</v>
      </c>
      <c r="P19" s="880">
        <f t="shared" si="6"/>
        <v>0</v>
      </c>
      <c r="Q19" s="821">
        <f t="shared" si="6"/>
        <v>3258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16783</v>
      </c>
      <c r="AC19" s="820">
        <f t="shared" si="7"/>
        <v>2367</v>
      </c>
      <c r="AD19" s="820">
        <f t="shared" si="7"/>
        <v>0</v>
      </c>
      <c r="AE19" s="820">
        <f t="shared" si="7"/>
        <v>0</v>
      </c>
      <c r="AF19" s="827">
        <f t="shared" si="7"/>
        <v>11490</v>
      </c>
      <c r="AG19" s="827">
        <f t="shared" si="7"/>
        <v>0</v>
      </c>
      <c r="AH19" s="827">
        <f t="shared" si="7"/>
        <v>763</v>
      </c>
      <c r="AI19" s="827">
        <f t="shared" si="7"/>
        <v>0</v>
      </c>
      <c r="AJ19" s="820">
        <f t="shared" si="7"/>
        <v>0</v>
      </c>
      <c r="AK19" s="827">
        <f t="shared" si="7"/>
        <v>0</v>
      </c>
      <c r="AL19" s="827">
        <f t="shared" si="7"/>
        <v>0</v>
      </c>
      <c r="AM19" s="827">
        <f t="shared" si="7"/>
        <v>31306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4499</v>
      </c>
      <c r="BD19" s="819">
        <f t="shared" si="7"/>
        <v>18277</v>
      </c>
      <c r="BE19" s="819">
        <f t="shared" si="7"/>
        <v>0</v>
      </c>
      <c r="BF19" s="829">
        <f t="shared" si="7"/>
        <v>0</v>
      </c>
      <c r="BG19" s="914">
        <f>IF(ISNUMBER(Datos!K19/Datos!J19),Datos!K19/Datos!J19," - ")</f>
        <v>1.0923256426662653</v>
      </c>
      <c r="BH19" s="914">
        <f>IF(ISNUMBER(((Datos!L19/Datos!K19)*11)/factor_trimestre),((Datos!L19/Datos!K19)*11)/factor_trimestre," - ")</f>
        <v>4.6506098821583626</v>
      </c>
      <c r="BI19" s="812">
        <f>IF(ISNUMBER(Datos!J19/Datos!I19),Datos!J19/Datos!I19," - ")</f>
        <v>0.57199138858988163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-1.6691198408751864</v>
      </c>
      <c r="BM19" s="888">
        <f>IF(ISNUMBER((Datos!P19-Datos!Q19+R19)/(Datos!R19-Datos!P19+Datos!Q19-R19)),(Datos!P19-Datos!Q19+R19)/(Datos!R19-Datos!P19+Datos!Q19-R19)," - ")</f>
        <v>2.9294755877034357E-2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4465.2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9.4044906531105887</v>
      </c>
      <c r="F21" s="550">
        <f>IF(ISNUMBER(STDEV(F8:F18)),STDEV(F8:F18),"-")</f>
        <v>5344.5314418883654</v>
      </c>
      <c r="G21" s="551">
        <f>IF(ISNUMBER(STDEV(G8:G18)),STDEV(G8:G18),"-")</f>
        <v>5213.2957617998236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8092.3946826634701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1005.706195854909</v>
      </c>
      <c r="BD21" s="550"/>
      <c r="BE21" s="550">
        <f>IF(ISNUMBER(STDEV(BE8:BE18)),STDEV(BE8:BE18),"-")</f>
        <v>0</v>
      </c>
      <c r="BF21" s="555">
        <f>IF(ISNUMBER(STDEV(BF8:BF18)),STDEV(BF8:BF18),"-")</f>
        <v>0</v>
      </c>
      <c r="BG21" s="774">
        <f>IF(ISNUMBER(STDEV(BG8:BG18)),STDEV(BG8:BG18),"-")</f>
        <v>0.17082210648333607</v>
      </c>
      <c r="BH21" s="775">
        <f>IF(ISNUMBER(STDEV(BH8:BH18)),STDEV(BH8:BH18),"-")</f>
        <v>2.873891002193135</v>
      </c>
      <c r="BI21" s="248">
        <f>IF(ISNUMBER(STDEV(BI8:BI18)),STDEV(BI8:BI18),"-")</f>
        <v>6.4828993504691138E-2</v>
      </c>
      <c r="BJ21" s="229" t="str">
        <f>IF(ISNUMBER(BL21/BM21),BL21/BM21," - ")</f>
        <v xml:space="preserve"> - </v>
      </c>
      <c r="BK21" s="574"/>
      <c r="BL21" s="558">
        <f>IF(ISNUMBER(STDEV(BL8:BL18)),STDEV(BL8:BL18),"-")</f>
        <v>0.75658607139124956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THTeZcC8g0gn60Hn2p4YyC4D+X7tdfdupEIXU0KUXXR8YV37DKoXCWWsnmQjnpHzeWaiou8cuijQN7kUzFgSA==" saltValue="YtP6JuBBz5B5TzFjU/i2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MALAGA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2343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1437</v>
      </c>
      <c r="AA9" s="331" t="str">
        <f>IF(ISNUMBER(IF(J_V="SI",Datos!L9,Datos!L9+Datos!AB9)-IF(Monitorios="SI",Datos!CD9,0)),
                          IF(J_V="SI",Datos!L9,Datos!L9+Datos!AB9)-IF(Monitorios="SI",Datos!CD9,0),
                          " - ")</f>
        <v xml:space="preserve"> - </v>
      </c>
      <c r="AB9" s="333"/>
      <c r="AC9" s="333"/>
      <c r="AD9" s="483"/>
      <c r="AE9" s="483">
        <f>IF(ISNUMBER(Datos!R9),Datos!R9," - ")</f>
        <v>27620</v>
      </c>
      <c r="AF9" s="228" t="str">
        <f>IF(ISNUMBER(Datos!BV9),Datos!BV9," - ")</f>
        <v xml:space="preserve"> - </v>
      </c>
      <c r="AG9" s="224" t="str">
        <f>IF(ISNUMBER(Datos!DV9),Datos!DV9," - ")</f>
        <v xml:space="preserve"> - </v>
      </c>
      <c r="AH9" s="297"/>
      <c r="AI9" s="226"/>
      <c r="AJ9" s="224">
        <f>IF(ISNUMBER(Datos!M9),Datos!M9," - ")</f>
        <v>1950</v>
      </c>
      <c r="AK9" s="228">
        <f>IF(ISNUMBER(Datos!N9),Datos!N9," - ")</f>
        <v>7050</v>
      </c>
      <c r="AL9" s="228" t="str">
        <f>IF(ISNUMBER(Datos!BW9),Datos!BW9," - ")</f>
        <v xml:space="preserve"> - </v>
      </c>
      <c r="AM9" s="227" t="str">
        <f>IF(ISNUMBER(Datos!BX9),Datos!BX9," - ")</f>
        <v xml:space="preserve"> - </v>
      </c>
      <c r="AN9" s="242"/>
      <c r="AO9" s="259">
        <f>IF(ISNUMBER(((NºAsuntos!I9/NºAsuntos!G9)*11)/factor_trimestre),((NºAsuntos!I9/NºAsuntos!G9)*11)/factor_trimestre," - ")</f>
        <v>8.3480044440646104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3.3914801227820618E-2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4</v>
      </c>
      <c r="B10" s="506" t="s">
        <v>246</v>
      </c>
      <c r="C10" s="7" t="str">
        <f>Datos!A10</f>
        <v>Jdos. Violencia contra la mujer/Secc Viol. TI.</v>
      </c>
      <c r="D10" s="507"/>
      <c r="E10" s="1167">
        <f>IF(ISNUMBER(Datos!AQ10),Datos!AQ10," - ")</f>
        <v>4</v>
      </c>
      <c r="F10" s="224">
        <f>IF(ISNUMBER(Datos!L10+Datos!K10-Datos!J10),Datos!L10+Datos!K10-Datos!J10," - ")</f>
        <v>399</v>
      </c>
      <c r="G10" s="224">
        <f>IF(ISNUMBER(Datos!I10),Datos!I10," - ")</f>
        <v>400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256</v>
      </c>
      <c r="Z10" s="618">
        <f>IF(ISNUMBER(Datos!Q10),Datos!Q10," - ")</f>
        <v>23</v>
      </c>
      <c r="AA10" s="331">
        <f>IF(ISNUMBER(Datos!L10),Datos!L10,"-")</f>
        <v>345</v>
      </c>
      <c r="AB10" s="333"/>
      <c r="AC10" s="333"/>
      <c r="AD10" s="483"/>
      <c r="AE10" s="483">
        <f>IF(ISNUMBER(Datos!R10),Datos!R10," - ")</f>
        <v>404</v>
      </c>
      <c r="AF10" s="228" t="str">
        <f>IF(ISNUMBER(Datos!BV10),Datos!BV10," - ")</f>
        <v xml:space="preserve"> - </v>
      </c>
      <c r="AG10" s="224" t="str">
        <f>IF(ISNUMBER(Datos!DV10),Datos!DV10," - ")</f>
        <v xml:space="preserve"> - </v>
      </c>
      <c r="AH10" s="297"/>
      <c r="AI10" s="226"/>
      <c r="AJ10" s="224">
        <f>IF(ISNUMBER(Datos!M10),Datos!M10," - ")</f>
        <v>102</v>
      </c>
      <c r="AK10" s="228">
        <f>IF(ISNUMBER(Datos!N10),Datos!N10," - ")</f>
        <v>125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4.04296875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5.4830287206266322E-2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185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193</v>
      </c>
      <c r="AA11" s="331" t="str">
        <f>IF(ISNUMBER(IF(J_V="SI",Datos!L11,Datos!L11+Datos!AB11)-IF(Monitorios="SI",Datos!CD11,0)),
                          IF(J_V="SI",Datos!L11,Datos!L11+Datos!AB11)-IF(Monitorios="SI",Datos!CD11,0),
                          " - ")</f>
        <v xml:space="preserve"> - </v>
      </c>
      <c r="AB11" s="333"/>
      <c r="AC11" s="333"/>
      <c r="AD11" s="483"/>
      <c r="AE11" s="483">
        <f>IF(ISNUMBER(Datos!R11),Datos!R11," - ")</f>
        <v>2044</v>
      </c>
      <c r="AF11" s="228" t="str">
        <f>IF(ISNUMBER(Datos!BV11),Datos!BV11," - ")</f>
        <v xml:space="preserve"> - </v>
      </c>
      <c r="AG11" s="224" t="str">
        <f>IF(ISNUMBER(Datos!DV11),Datos!DV11," - ")</f>
        <v xml:space="preserve"> - </v>
      </c>
      <c r="AH11" s="297"/>
      <c r="AI11" s="226"/>
      <c r="AJ11" s="224">
        <f>IF(ISNUMBER(Datos!M11),Datos!M11," - ")</f>
        <v>675</v>
      </c>
      <c r="AK11" s="228">
        <f>IF(ISNUMBER(Datos!N11),Datos!N11," - ")</f>
        <v>545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3.0666266506602642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-3.8986354775828458E-3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26</v>
      </c>
      <c r="F13" s="897">
        <f>SUBTOTAL(9,F8:F12)</f>
        <v>399</v>
      </c>
      <c r="G13" s="897">
        <f>SUBTOTAL(9,G8:G12)</f>
        <v>400</v>
      </c>
      <c r="H13" s="907"/>
      <c r="I13" s="897">
        <f t="shared" ref="I13:N13" si="0">SUBTOTAL(9,I8:I12)</f>
        <v>0</v>
      </c>
      <c r="J13" s="866">
        <f t="shared" si="0"/>
        <v>0</v>
      </c>
      <c r="K13" s="907">
        <f t="shared" si="0"/>
        <v>0</v>
      </c>
      <c r="L13" s="907">
        <f t="shared" si="0"/>
        <v>0</v>
      </c>
      <c r="M13" s="907">
        <f t="shared" si="0"/>
        <v>0</v>
      </c>
      <c r="N13" s="907">
        <f t="shared" si="0"/>
        <v>2572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256</v>
      </c>
      <c r="Z13" s="906">
        <f t="shared" si="2"/>
        <v>1653</v>
      </c>
      <c r="AA13" s="899">
        <f t="shared" si="2"/>
        <v>345</v>
      </c>
      <c r="AB13" s="899">
        <f t="shared" si="2"/>
        <v>0</v>
      </c>
      <c r="AC13" s="899">
        <f t="shared" si="2"/>
        <v>0</v>
      </c>
      <c r="AD13" s="899">
        <f t="shared" si="2"/>
        <v>0</v>
      </c>
      <c r="AE13" s="899">
        <f t="shared" si="2"/>
        <v>30068</v>
      </c>
      <c r="AF13" s="907">
        <f t="shared" si="2"/>
        <v>0</v>
      </c>
      <c r="AG13" s="907">
        <f t="shared" si="2"/>
        <v>0</v>
      </c>
      <c r="AH13" s="907">
        <f t="shared" si="2"/>
        <v>0</v>
      </c>
      <c r="AI13" s="907">
        <f t="shared" si="2"/>
        <v>0</v>
      </c>
      <c r="AJ13" s="907">
        <f t="shared" si="2"/>
        <v>2727</v>
      </c>
      <c r="AK13" s="907">
        <f t="shared" si="2"/>
        <v>7720</v>
      </c>
      <c r="AL13" s="907">
        <f t="shared" si="2"/>
        <v>0</v>
      </c>
      <c r="AM13" s="907">
        <f t="shared" si="2"/>
        <v>0</v>
      </c>
      <c r="AN13" s="907">
        <f t="shared" si="2"/>
        <v>0</v>
      </c>
      <c r="AO13" s="903">
        <f>IF(ISNUMBER(((NºAsuntos!I13/NºAsuntos!G13)*11)/factor_trimestre),((NºAsuntos!I13/NºAsuntos!G13)*11)/factor_trimestre," - ")</f>
        <v>7.6212288042281449</v>
      </c>
      <c r="AP13" s="909" t="str">
        <f>IF(ISNUMBER(Datos!CI13/Datos!CJ13),Datos!CI13/Datos!CJ13," - ")</f>
        <v xml:space="preserve"> - </v>
      </c>
      <c r="AQ13" s="927">
        <f t="shared" ref="AQ13:AV13" si="3">SUBTOTAL(9,AQ9:AQ12)</f>
        <v>0</v>
      </c>
      <c r="AR13" s="927">
        <f t="shared" si="3"/>
        <v>8.4846452956504087E-2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14</v>
      </c>
      <c r="B15" s="506" t="s">
        <v>396</v>
      </c>
      <c r="C15" s="159" t="str">
        <f>Datos!A15</f>
        <v xml:space="preserve">Jdos. Instrucción                               </v>
      </c>
      <c r="D15" s="501"/>
      <c r="E15" s="1167">
        <f>IF(ISNUMBER(Datos!AQ15),Datos!AQ15," - ")</f>
        <v>14</v>
      </c>
      <c r="F15" s="332">
        <f>IF(ISNUMBER(AA15+Y15-Datos!J15-K15),AA15+Y15-Datos!J15-K15," - ")</f>
        <v>9656</v>
      </c>
      <c r="G15" s="224">
        <f>IF(ISNUMBER(IF(D_I="SI",Datos!I15,Datos!I15+Datos!AC15)),IF(D_I="SI",Datos!I15,Datos!I15+Datos!AC15)," - ")</f>
        <v>9524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676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14486</v>
      </c>
      <c r="Z15" s="618">
        <f>IF(ISNUMBER(Datos!Q15),Datos!Q15," - ")</f>
        <v>708</v>
      </c>
      <c r="AA15" s="331">
        <f>IF(ISNUMBER(IF(D_I="SI",Datos!L15,Datos!L15+Datos!AF15)),IF(D_I="SI",Datos!L15,Datos!L15+Datos!AF15)," - ")</f>
        <v>10003</v>
      </c>
      <c r="AB15" s="333"/>
      <c r="AC15" s="333"/>
      <c r="AD15" s="483"/>
      <c r="AE15" s="483">
        <f>IF(ISNUMBER(Datos!R15),Datos!R15," - ")</f>
        <v>1214</v>
      </c>
      <c r="AF15" s="228" t="str">
        <f>IF(ISNUMBER(Datos!BV15),Datos!BV15," - ")</f>
        <v xml:space="preserve"> - </v>
      </c>
      <c r="AG15" s="224"/>
      <c r="AH15" s="297"/>
      <c r="AI15" s="226"/>
      <c r="AJ15" s="224">
        <f>IF(ISNUMBER(Datos!M15),Datos!M15," - ")</f>
        <v>1667</v>
      </c>
      <c r="AK15" s="228">
        <f>IF(ISNUMBER(Datos!N15),Datos!N15," - ")</f>
        <v>9471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2.0715863592434074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4</v>
      </c>
      <c r="B17" s="506" t="s">
        <v>396</v>
      </c>
      <c r="C17" s="7" t="str">
        <f>Datos!A17</f>
        <v>Jdos. Violencia contra la mujer/Secc Viol. TI.</v>
      </c>
      <c r="D17" s="507"/>
      <c r="E17" s="1167">
        <f>IF(ISNUMBER(Datos!AQ17),Datos!AQ17," - ")</f>
        <v>4</v>
      </c>
      <c r="F17" s="224" t="str">
        <f>IF(ISNUMBER(AA17+Y17-I17-K17),AA17+Y17-I17-K17," - ")</f>
        <v xml:space="preserve"> - </v>
      </c>
      <c r="G17" s="522">
        <f>IF(ISNUMBER(IF(D_I="SI",Datos!I17,Datos!I17+Datos!AC17)),IF(D_I="SI",Datos!I17,Datos!I17+Datos!AC17)," - ")</f>
        <v>1239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2041</v>
      </c>
      <c r="Z17" s="618">
        <f>IF(ISNUMBER(Datos!Q17),Datos!Q17," - ")</f>
        <v>6</v>
      </c>
      <c r="AA17" s="331">
        <f>IF(ISNUMBER(Datos!L17),Datos!L17,"-")</f>
        <v>1142</v>
      </c>
      <c r="AB17" s="333"/>
      <c r="AC17" s="333"/>
      <c r="AD17" s="483"/>
      <c r="AE17" s="483">
        <f>IF(ISNUMBER(Datos!R17),Datos!R17," - ")</f>
        <v>24</v>
      </c>
      <c r="AF17" s="228" t="str">
        <f>IF(ISNUMBER(Datos!BV17),Datos!BV17," - ")</f>
        <v xml:space="preserve"> - </v>
      </c>
      <c r="AG17" s="224" t="str">
        <f>IF(ISNUMBER(Datos!DV17),Datos!DV17," - ")</f>
        <v xml:space="preserve"> - </v>
      </c>
      <c r="AH17" s="297"/>
      <c r="AI17" s="226"/>
      <c r="AJ17" s="224">
        <f>IF(ISNUMBER(Datos!M17),Datos!M17," - ")</f>
        <v>105</v>
      </c>
      <c r="AK17" s="228">
        <f>IF(ISNUMBER(Datos!N17),Datos!N17," - ")</f>
        <v>1086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1.6785889269965706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18</v>
      </c>
      <c r="F18" s="897">
        <f>SUBTOTAL(9,F15:F17)</f>
        <v>9656</v>
      </c>
      <c r="G18" s="897">
        <f>SUBTOTAL(9,G15:G17)</f>
        <v>10763</v>
      </c>
      <c r="H18" s="931">
        <f>SUBTOTAL(9,H15:H17)</f>
        <v>0</v>
      </c>
      <c r="I18" s="910">
        <f>SUBTOTAL(9,I15:I17)</f>
        <v>0</v>
      </c>
      <c r="J18" s="866">
        <f>SUBTOTAL(9,J14:J17)</f>
        <v>0</v>
      </c>
      <c r="K18" s="931">
        <f t="shared" ref="K18:S18" si="4">SUBTOTAL(9,K15:K17)</f>
        <v>0</v>
      </c>
      <c r="L18" s="931">
        <f t="shared" si="4"/>
        <v>0</v>
      </c>
      <c r="M18" s="931">
        <f t="shared" si="4"/>
        <v>0</v>
      </c>
      <c r="N18" s="931">
        <f t="shared" si="4"/>
        <v>686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16527</v>
      </c>
      <c r="Z18" s="931">
        <f t="shared" si="5"/>
        <v>714</v>
      </c>
      <c r="AA18" s="931">
        <f t="shared" si="5"/>
        <v>11145</v>
      </c>
      <c r="AB18" s="931">
        <f t="shared" si="5"/>
        <v>0</v>
      </c>
      <c r="AC18" s="931">
        <f t="shared" si="5"/>
        <v>0</v>
      </c>
      <c r="AD18" s="931">
        <f t="shared" si="5"/>
        <v>0</v>
      </c>
      <c r="AE18" s="931">
        <f t="shared" si="5"/>
        <v>1238</v>
      </c>
      <c r="AF18" s="931">
        <f t="shared" si="5"/>
        <v>0</v>
      </c>
      <c r="AG18" s="931">
        <f t="shared" si="5"/>
        <v>0</v>
      </c>
      <c r="AH18" s="931">
        <f t="shared" si="5"/>
        <v>0</v>
      </c>
      <c r="AI18" s="931">
        <f t="shared" si="5"/>
        <v>0</v>
      </c>
      <c r="AJ18" s="931">
        <f t="shared" si="5"/>
        <v>1772</v>
      </c>
      <c r="AK18" s="931">
        <f t="shared" si="5"/>
        <v>10557</v>
      </c>
      <c r="AL18" s="931">
        <f t="shared" si="5"/>
        <v>0</v>
      </c>
      <c r="AM18" s="931">
        <f t="shared" si="5"/>
        <v>0</v>
      </c>
      <c r="AN18" s="931">
        <f t="shared" si="5"/>
        <v>0</v>
      </c>
      <c r="AO18" s="933">
        <f>IF(ISNUMBER(((NºAsuntos!I18/NºAsuntos!G18)*11)/factor_trimestre),((NºAsuntos!I18/NºAsuntos!G18)*11)/factor_trimestre," - ")</f>
        <v>2.0230531856961336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44</v>
      </c>
      <c r="F19" s="819">
        <f t="shared" si="7"/>
        <v>10055</v>
      </c>
      <c r="G19" s="819">
        <f t="shared" si="7"/>
        <v>11163</v>
      </c>
      <c r="H19" s="820">
        <f t="shared" si="7"/>
        <v>0</v>
      </c>
      <c r="I19" s="819">
        <f t="shared" si="7"/>
        <v>0</v>
      </c>
      <c r="J19" s="821">
        <f t="shared" si="7"/>
        <v>0</v>
      </c>
      <c r="K19" s="819">
        <f t="shared" si="7"/>
        <v>0</v>
      </c>
      <c r="L19" s="822">
        <f t="shared" si="7"/>
        <v>0</v>
      </c>
      <c r="M19" s="819">
        <f t="shared" si="7"/>
        <v>0</v>
      </c>
      <c r="N19" s="820">
        <f t="shared" si="7"/>
        <v>3258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16783</v>
      </c>
      <c r="Z19" s="826">
        <f t="shared" si="8"/>
        <v>2367</v>
      </c>
      <c r="AA19" s="827">
        <f t="shared" si="8"/>
        <v>11490</v>
      </c>
      <c r="AB19" s="827">
        <f t="shared" si="8"/>
        <v>0</v>
      </c>
      <c r="AC19" s="827">
        <f t="shared" si="8"/>
        <v>0</v>
      </c>
      <c r="AD19" s="828">
        <f t="shared" si="8"/>
        <v>0</v>
      </c>
      <c r="AE19" s="828">
        <f t="shared" si="8"/>
        <v>31306</v>
      </c>
      <c r="AF19" s="829">
        <f t="shared" si="8"/>
        <v>0</v>
      </c>
      <c r="AG19" s="830">
        <f t="shared" si="8"/>
        <v>0</v>
      </c>
      <c r="AH19" s="831">
        <f t="shared" si="8"/>
        <v>0</v>
      </c>
      <c r="AI19" s="829">
        <f t="shared" si="8"/>
        <v>0</v>
      </c>
      <c r="AJ19" s="819">
        <f t="shared" si="8"/>
        <v>4499</v>
      </c>
      <c r="AK19" s="819">
        <f t="shared" si="8"/>
        <v>18277</v>
      </c>
      <c r="AL19" s="819">
        <f t="shared" si="8"/>
        <v>0</v>
      </c>
      <c r="AM19" s="832">
        <f t="shared" si="8"/>
        <v>0</v>
      </c>
      <c r="AN19" s="822">
        <f>IF(ISNUMBER(Datos!K19/Datos!J19),Datos!K19/Datos!J19," - ")</f>
        <v>1.0923256426662653</v>
      </c>
      <c r="AO19" s="822">
        <f>IF(ISNUMBER(FIND("06",Criterios!A8,1)),(IF(ISNUMBER(((Datos!R19/Datos!Q19)*11)/factor_trimestre),((Datos!R19/Datos!Q19)*11)/factor_trimestre," - ")),(IF(ISNUMBER(((Datos!L19/Datos!K19)*11)/factor_trimestre),((Datos!L19/Datos!K19)*11)/factor_trimestre," - ")))</f>
        <v>4.6506098821583626</v>
      </c>
      <c r="AP19" s="833" t="str">
        <f>IF(ISNUMBER(Datos!CI19/Datos!CJ19),Datos!CI19/Datos!CJ19," - ")</f>
        <v xml:space="preserve"> - </v>
      </c>
      <c r="AQ19" s="833">
        <f>IF(OR(ISNUMBER(FIND("01",Criterios!A8,1)),ISNUMBER(FIND("02",Criterios!A8,1)),ISNUMBER(FIND("03",Criterios!A8,1)),ISNUMBER(FIND("04",Criterios!A8,1))),(J19-Y19+K19)/(F19-K19),(I19-Y19+K19)/(F19-K19))</f>
        <v>-1.6691198408751864</v>
      </c>
      <c r="AR19" s="833">
        <f>IF(ISNUMBER((Datos!P19-Datos!Q19+O19)/(Datos!R19-Datos!P19+Datos!Q19-O19)),(Datos!P19-Datos!Q19+O19)/(Datos!R19-Datos!P19+Datos!Q19-O19)," - ")</f>
        <v>2.9294755877034357E-2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4465.2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5344.5314418883654</v>
      </c>
      <c r="G21" s="551">
        <f>IF(ISNUMBER(STDEV(G8:G18)),STDEV(G8:G18),"-")</f>
        <v>5213.2957617998236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1005.706195854909</v>
      </c>
      <c r="AK21" s="251"/>
      <c r="AL21" s="251">
        <f>IF(ISNUMBER(STDEV(AL8:AL18)),STDEV(AL8:AL18),"-")</f>
        <v>0</v>
      </c>
      <c r="AM21" s="253">
        <f>IF(ISNUMBER(STDEV(AM8:AM18)),STDEV(AM8:AM18),"-")</f>
        <v>0</v>
      </c>
      <c r="AN21" s="538">
        <f>IF(ISNUMBER(STDEV(AN8:AN18)),STDEV(AN8:AN18),"-")</f>
        <v>0</v>
      </c>
      <c r="AO21" s="539">
        <f>IF(ISNUMBER(STDEV(AO8:AO18)),STDEV(AO8:AO18),"-")</f>
        <v>2.7629635535799082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fATyDUvkW5jsjuFcoYkvxZf3y/nHU8sBLrPGMzFvumkms5wHGcJQ8JhWVDFUkLKing4ojTGF0EpQ20jcKqQyw==" saltValue="kQWjbMdjhNzdcXQMA6fX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uWojxSDeeJJGR9RF0yLzMeHXmmE+wESByzgX1HvOU/AaxbUtXU6z1zO8rWZZrSTog+KEPBt29Xp/lGYPLBIpg==" saltValue="6zjsMp7dabq/UKiCtVFC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VZI9zsIOW6lQldrxNUNCtXRox7pvTxxY0jGr1eW8XtXYWLOZQ8L/N/L9sAuZG+V9a9RnFC4cNfExlfvMgAkaQ==" saltValue="wjA/EqPAxdvLgxH4BV4j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MALAGA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0.20017617264919621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0.14154592911221575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9vuW8P27RfIpPH296dLb+j8xvcgUB1SkNHK8WmiopgwMmEPajgly1lky8E7JypYDUE8OOjxc7PMs36IeUCm6g==" saltValue="TzvBmVzStk2ffTJIPJ2y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LmfBCnH/RC0SpKJ244H+dyDR8nRsoOdvrLA2YoWzXoNneVzS2OkdFeaIoUPtIiCOsiRW06+qBacl1M7xJ+q1g==" saltValue="sdDQaQytpnBSPXhUqExX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MALAGA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18</v>
      </c>
      <c r="C9" s="402">
        <f>IF(ISNUMBER(IF(J_V="SI",Datos!I9,Datos!I9+Datos!Y9)),IF(J_V="SI",Datos!I9,Datos!I9+Datos!Y9)," - ")</f>
        <v>34018</v>
      </c>
      <c r="D9" s="403">
        <f>IF(ISNUMBER(C9/Datos!BH9),C9/Datos!BH9," - ")</f>
        <v>1889.8888888888889</v>
      </c>
      <c r="E9" s="402">
        <f>IF(ISNUMBER(IF(J_V="SI",Datos!J9,Datos!J9+Datos!Z9)),IF(J_V="SI",Datos!J9,Datos!J9+Datos!Z9)," - ")</f>
        <v>9565</v>
      </c>
      <c r="F9" s="403">
        <f>IF(ISNUMBER(E9/B9),E9/B9," - ")</f>
        <v>531.38888888888891</v>
      </c>
      <c r="G9" s="402">
        <f>IF(ISNUMBER(IF(J_V="SI",Datos!K9,Datos!K9+Datos!AA9)),IF(J_V="SI",Datos!K9,Datos!K9+Datos!AA9)," - ")</f>
        <v>11701</v>
      </c>
      <c r="H9" s="403">
        <f>IF(ISNUMBER(G9/B9),G9/B9," - ")</f>
        <v>650.05555555555554</v>
      </c>
      <c r="I9" s="402">
        <f>IF(ISNUMBER(IF(J_V="SI",Datos!L9,Datos!L9+Datos!AB9)),IF(J_V="SI",Datos!L9,Datos!L9+Datos!AB9)," - ")</f>
        <v>32560</v>
      </c>
      <c r="J9" s="403">
        <f>IF(ISNUMBER(I9/B9),I9/B9," - ")</f>
        <v>1808.8888888888889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4</v>
      </c>
      <c r="C10" s="402">
        <f>IF(ISNUMBER(Datos!I10),Datos!I10," - ")</f>
        <v>400</v>
      </c>
      <c r="D10" s="403">
        <f>IF(ISNUMBER(C10/Datos!BH10),C10/Datos!BH10," - ")</f>
        <v>100</v>
      </c>
      <c r="E10" s="402">
        <f>IF(ISNUMBER(Datos!J10),Datos!J10," - ")</f>
        <v>202</v>
      </c>
      <c r="F10" s="403">
        <f>IF(ISNUMBER(E10/B10),E10/B10," - ")</f>
        <v>50.5</v>
      </c>
      <c r="G10" s="402">
        <f>IF(ISNUMBER(Datos!K10),Datos!K10," - ")</f>
        <v>256</v>
      </c>
      <c r="H10" s="403">
        <f>IF(ISNUMBER(G10/B10),G10/B10," - ")</f>
        <v>64</v>
      </c>
      <c r="I10" s="402">
        <f>IF(ISNUMBER(Datos!L10),Datos!L10," - ")</f>
        <v>345</v>
      </c>
      <c r="J10" s="403">
        <f>IF(ISNUMBER(I10/B10),I10/B10," - ")</f>
        <v>86.25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1972</v>
      </c>
      <c r="D11" s="403">
        <f>IF(ISNUMBER(C11/Datos!BH11),C11/Datos!BH11," - ")</f>
        <v>493</v>
      </c>
      <c r="E11" s="402">
        <f>IF(ISNUMBER(IF(J_V="SI",Datos!J11,Datos!J11+Datos!Z11)),IF(J_V="SI",Datos!J11,Datos!J11+Datos!Z11)," - ")</f>
        <v>1166</v>
      </c>
      <c r="F11" s="403">
        <f>IF(ISNUMBER(E11/B11),E11/B11," - ")</f>
        <v>291.5</v>
      </c>
      <c r="G11" s="402">
        <f>IF(ISNUMBER(IF(J_V="SI",Datos!K11,Datos!K11+Datos!AA11)),IF(J_V="SI",Datos!K11,Datos!K11+Datos!AA11)," - ")</f>
        <v>1666</v>
      </c>
      <c r="H11" s="403">
        <f>IF(ISNUMBER(G11/B11),G11/B11," - ")</f>
        <v>416.5</v>
      </c>
      <c r="I11" s="402">
        <f>IF(ISNUMBER(IF(J_V="SI",Datos!L11,Datos!L11+Datos!AB11)),IF(J_V="SI",Datos!L11,Datos!L11+Datos!AB11)," - ")</f>
        <v>1703</v>
      </c>
      <c r="J11" s="403">
        <f>IF(ISNUMBER(I11/B11),I11/B11," - ")</f>
        <v>425.75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26</v>
      </c>
      <c r="C13" s="848">
        <f>SUBTOTAL(9,C8:C12)</f>
        <v>36390</v>
      </c>
      <c r="D13" s="849" t="str">
        <f>IF(ISNUMBER(C13/Datos!BI13),C13/Datos!BI13," - ")</f>
        <v xml:space="preserve"> - </v>
      </c>
      <c r="E13" s="848">
        <f>SUBTOTAL(9,E8:E12)</f>
        <v>10933</v>
      </c>
      <c r="F13" s="849">
        <f>IF(ISNUMBER(E13/B13),E13/B13," - ")</f>
        <v>420.5</v>
      </c>
      <c r="G13" s="848">
        <f>SUBTOTAL(9,G8:G12)</f>
        <v>13623</v>
      </c>
      <c r="H13" s="849">
        <f>IF(ISNUMBER(G13/B13),G13/B13," - ")</f>
        <v>523.96153846153845</v>
      </c>
      <c r="I13" s="848">
        <f>SUBTOTAL(9,I8:I12)</f>
        <v>34608</v>
      </c>
      <c r="J13" s="849">
        <f>IF(ISNUMBER(I13/B13),I13/B13," - ")</f>
        <v>1331.0769230769231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14</v>
      </c>
      <c r="C15" s="402">
        <f>IF(ISNUMBER(IF(D_I="SI",Datos!I15,Datos!I15+Datos!AC15)),IF(D_I="SI",Datos!I15,Datos!I15+Datos!AC15)," - ")</f>
        <v>9524</v>
      </c>
      <c r="D15" s="403">
        <f>IF(ISNUMBER(C15/Datos!BH15),C15/Datos!BH15," - ")</f>
        <v>680.28571428571433</v>
      </c>
      <c r="E15" s="402">
        <f>IF(ISNUMBER(IF(D_I="SI",Datos!J15,Datos!J15+Datos!AD15)),IF(D_I="SI",Datos!J15,Datos!J15+Datos!AD15)," - ")</f>
        <v>14833</v>
      </c>
      <c r="F15" s="403">
        <f>IF(ISNUMBER(E15/B15),E15/B15," - ")</f>
        <v>1059.5</v>
      </c>
      <c r="G15" s="402">
        <f>IF(ISNUMBER(IF(D_I="SI",Datos!K15,Datos!K15+Datos!AE15)),IF(D_I="SI",Datos!K15,Datos!K15+Datos!AE15)," - ")</f>
        <v>14486</v>
      </c>
      <c r="H15" s="403">
        <f>IF(ISNUMBER(G15/B15),G15/B15," - ")</f>
        <v>1034.7142857142858</v>
      </c>
      <c r="I15" s="402">
        <f>IF(ISNUMBER(IF(D_I="SI",Datos!L15,Datos!L15+Datos!AF15)),IF(D_I="SI",Datos!L15,Datos!L15+Datos!AF15)," - ")</f>
        <v>10003</v>
      </c>
      <c r="J15" s="403">
        <f>IF(ISNUMBER(I15/B15),I15/B15," - ")</f>
        <v>714.5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4</v>
      </c>
      <c r="C17" s="402">
        <f>IF(ISNUMBER(IF(D_I="SI",Datos!I17,Datos!I17+Datos!AC17)),IF(D_I="SI",Datos!I17,Datos!I17+Datos!AC17)," - ")</f>
        <v>1239</v>
      </c>
      <c r="D17" s="403">
        <f>IF(ISNUMBER(C17/Datos!BH17),C17/Datos!BH17," - ")</f>
        <v>309.75</v>
      </c>
      <c r="E17" s="402">
        <f>IF(ISNUMBER(IF(D_I="SI",Datos!J17,Datos!J17+Datos!AD17)),IF(D_I="SI",Datos!J17,Datos!J17+Datos!AD17)," - ")</f>
        <v>1936</v>
      </c>
      <c r="F17" s="403">
        <f>IF(ISNUMBER(E17/B17),E17/B17," - ")</f>
        <v>484</v>
      </c>
      <c r="G17" s="402">
        <f>IF(ISNUMBER(IF(D_I="SI",Datos!K17,Datos!K17+Datos!AE17)),IF(D_I="SI",Datos!K17,Datos!K17+Datos!AE17)," - ")</f>
        <v>2041</v>
      </c>
      <c r="H17" s="403">
        <f>IF(ISNUMBER(G17/B17),G17/B17," - ")</f>
        <v>510.25</v>
      </c>
      <c r="I17" s="402">
        <f>IF(ISNUMBER(IF(D_I="SI",Datos!L17,Datos!L17+Datos!AF17)),IF(D_I="SI",Datos!L17,Datos!L17+Datos!AF17)," - ")</f>
        <v>1142</v>
      </c>
      <c r="J17" s="403">
        <f>IF(ISNUMBER(I17/B17),I17/B17," - ")</f>
        <v>285.5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18</v>
      </c>
      <c r="C18" s="848">
        <f>SUBTOTAL(9,C14:C17)</f>
        <v>10763</v>
      </c>
      <c r="D18" s="849" t="str">
        <f>IF(ISNUMBER(C18/Datos!BI18),C18/Datos!BI18," - ")</f>
        <v xml:space="preserve"> - </v>
      </c>
      <c r="E18" s="848">
        <f>SUBTOTAL(9,E14:E17)</f>
        <v>16769</v>
      </c>
      <c r="F18" s="849">
        <f>IF(ISNUMBER(E18/B18),E18/B18," - ")</f>
        <v>931.61111111111109</v>
      </c>
      <c r="G18" s="848">
        <f>SUBTOTAL(9,G14:G17)</f>
        <v>16527</v>
      </c>
      <c r="H18" s="849">
        <f>IF(ISNUMBER(G18/B18),G18/B18," - ")</f>
        <v>918.16666666666663</v>
      </c>
      <c r="I18" s="848">
        <f>SUBTOTAL(9,I14:I17)</f>
        <v>11145</v>
      </c>
      <c r="J18" s="849">
        <f>IF(ISNUMBER(I18/B18),I18/B18," - ")</f>
        <v>619.16666666666663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40</v>
      </c>
      <c r="C19" s="793">
        <f>SUBTOTAL(9,C9:C18)</f>
        <v>47153</v>
      </c>
      <c r="D19" s="794" t="str">
        <f>IF(ISNUMBER(C19/Datos!BI19),C19/Datos!BI19," - ")</f>
        <v xml:space="preserve"> - </v>
      </c>
      <c r="E19" s="793">
        <f>SUBTOTAL(9,E9:E18)</f>
        <v>27702</v>
      </c>
      <c r="F19" s="794">
        <f>IF(ISNUMBER(E19/B19),E19/B19," - ")</f>
        <v>692.55</v>
      </c>
      <c r="G19" s="793">
        <f>SUBTOTAL(9,G9:G18)</f>
        <v>30150</v>
      </c>
      <c r="H19" s="794">
        <f>IF(ISNUMBER(G19/B19),G19/B19," - ")</f>
        <v>753.75</v>
      </c>
      <c r="I19" s="793">
        <f>SUBTOTAL(9,I9:I18)</f>
        <v>45753</v>
      </c>
      <c r="J19" s="794">
        <f>IF(ISNUMBER(I19/B19),I19/B19," - ")</f>
        <v>1143.825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WYUkWjmN/PqKGG3W9l5cSIulshBsZGbSfPg9mg2XFmbzEd+5rc8OO1aV/hsbs40OK7KkUsAifh7HEbEnbTYiA==" saltValue="CzDXhlSrmO9oHEt2Hrb4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MALAGA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18</v>
      </c>
      <c r="B9" s="500" t="s">
        <v>246</v>
      </c>
      <c r="C9" s="159" t="str">
        <f>Datos!A9</f>
        <v xml:space="preserve">Jdos. 1ª Instancia   </v>
      </c>
      <c r="D9" s="501"/>
      <c r="E9" s="681">
        <f>IF(ISNUMBER(Datos!AQ9),Datos!AQ9," - ")</f>
        <v>18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4</v>
      </c>
      <c r="B10" s="506" t="s">
        <v>246</v>
      </c>
      <c r="C10" s="7" t="str">
        <f>Datos!A10</f>
        <v>Jdos. Violencia contra la mujer/Secc Viol. TI.</v>
      </c>
      <c r="D10" s="507"/>
      <c r="E10" s="681">
        <f>IF(ISNUMBER(Datos!AQ10),Datos!AQ10," - ")</f>
        <v>4</v>
      </c>
      <c r="F10" s="682">
        <f>IF(ISNUMBER(Datos!L10+Datos!K10-Datos!J10),Datos!L10+Datos!K10-Datos!J10," - ")</f>
        <v>399</v>
      </c>
      <c r="G10" s="683">
        <f>IF(ISNUMBER(Datos!I10),Datos!I10," - ")</f>
        <v>400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256</v>
      </c>
      <c r="AC10" s="682" t="str">
        <f>IF(ISNUMBER(IF(D_I="SI",DatosP!K17,DatosP!K17+DatosP!AE17)),IF(D_I="SI",DatosP!K17,DatosP!K17+DatosP!AE17)," - ")</f>
        <v xml:space="preserve"> - </v>
      </c>
      <c r="AD10" s="684"/>
      <c r="AE10" s="684"/>
      <c r="AF10" s="687">
        <f>IF(ISNUMBER(Datos!L10),Datos!L10,"-")</f>
        <v>345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102</v>
      </c>
      <c r="AM10" s="689">
        <f>IF(ISNUMBER(Datos!N10+DatosP!N17),Datos!N10+DatosP!N17," - ")</f>
        <v>125</v>
      </c>
      <c r="AN10" s="689">
        <f>IF(ISNUMBER(Datos!BW10+DatosP!BW17),Datos!BW10+DatosP!BW17," - ")</f>
        <v>0</v>
      </c>
      <c r="AO10" s="690">
        <f>IF(ISNUMBER(Datos!BX10+DatosP!BX17),Datos!BX10+DatosP!BX17," - ")</f>
        <v>0</v>
      </c>
      <c r="AP10" s="692">
        <f>IF(ISNUMBER(((Datos!L10/Datos!K10)*11)/factor_trimestre),((Datos!L10/Datos!K10)*11)/factor_trimestre," - ")</f>
        <v>4.04296875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26</v>
      </c>
      <c r="F13" s="937">
        <f t="shared" si="0"/>
        <v>399</v>
      </c>
      <c r="G13" s="937">
        <f t="shared" si="0"/>
        <v>400</v>
      </c>
      <c r="H13" s="937">
        <f t="shared" si="0"/>
        <v>0</v>
      </c>
      <c r="I13" s="939">
        <f t="shared" si="0"/>
        <v>0</v>
      </c>
      <c r="J13" s="938">
        <f t="shared" si="0"/>
        <v>0</v>
      </c>
      <c r="K13" s="938">
        <f t="shared" si="0"/>
        <v>0</v>
      </c>
      <c r="L13" s="940">
        <f t="shared" si="0"/>
        <v>0</v>
      </c>
      <c r="M13" s="940">
        <f t="shared" si="0"/>
        <v>0</v>
      </c>
      <c r="N13" s="938">
        <f t="shared" si="0"/>
        <v>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256</v>
      </c>
      <c r="AC13" s="938">
        <f t="shared" si="1"/>
        <v>0</v>
      </c>
      <c r="AD13" s="938">
        <f t="shared" si="1"/>
        <v>0</v>
      </c>
      <c r="AE13" s="938">
        <f t="shared" si="1"/>
        <v>0</v>
      </c>
      <c r="AF13" s="938">
        <f t="shared" si="1"/>
        <v>345</v>
      </c>
      <c r="AG13" s="938">
        <f t="shared" si="1"/>
        <v>0</v>
      </c>
      <c r="AH13" s="938">
        <f t="shared" si="1"/>
        <v>0</v>
      </c>
      <c r="AI13" s="938">
        <f t="shared" si="1"/>
        <v>0</v>
      </c>
      <c r="AJ13" s="938">
        <f t="shared" si="1"/>
        <v>0</v>
      </c>
      <c r="AK13" s="938">
        <f t="shared" si="1"/>
        <v>0</v>
      </c>
      <c r="AL13" s="938">
        <f t="shared" si="1"/>
        <v>102</v>
      </c>
      <c r="AM13" s="938">
        <f t="shared" si="1"/>
        <v>125</v>
      </c>
      <c r="AN13" s="938">
        <f t="shared" si="1"/>
        <v>0</v>
      </c>
      <c r="AO13" s="938">
        <f t="shared" si="1"/>
        <v>0</v>
      </c>
      <c r="AP13" s="943">
        <f>IF(ISNUMBER(((Datos!L13/Datos!K13)*11)/factor_trimestre),((Datos!L13/Datos!K13)*11)/factor_trimestre," - ")</f>
        <v>8.1260504201680686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-0.64160401002506262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4</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2.0230531856961336</v>
      </c>
      <c r="AQ18" s="943">
        <f>IF(ISNUMBER(((Datos!M18/Datos!L18)*11)/factor_trimestre),((Datos!M18/Datos!L18)*11)/factor_trimestre," - ")</f>
        <v>0.47698519515477794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-2.2116903633491312E-2</v>
      </c>
      <c r="AW18" s="945">
        <f>IF(ISNUMBER((Datos!Q18-Datos!R18)/(Datos!S18-Datos!Q18+Datos!R18)),(Datos!Q18-Datos!R18)/(Datos!S18-Datos!Q18+Datos!R18)," - ")</f>
        <v>-5.2621008234585258E-2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26</v>
      </c>
      <c r="F19" s="950">
        <f t="shared" si="4"/>
        <v>399</v>
      </c>
      <c r="G19" s="950">
        <f t="shared" si="4"/>
        <v>400</v>
      </c>
      <c r="H19" s="950">
        <f t="shared" si="4"/>
        <v>0</v>
      </c>
      <c r="I19" s="951">
        <f t="shared" si="4"/>
        <v>0</v>
      </c>
      <c r="J19" s="952">
        <f t="shared" si="4"/>
        <v>0</v>
      </c>
      <c r="K19" s="952">
        <f t="shared" si="4"/>
        <v>0</v>
      </c>
      <c r="L19" s="952">
        <f t="shared" si="4"/>
        <v>0</v>
      </c>
      <c r="M19" s="952">
        <f t="shared" si="4"/>
        <v>0</v>
      </c>
      <c r="N19" s="951">
        <f t="shared" si="4"/>
        <v>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256</v>
      </c>
      <c r="AC19" s="956">
        <f t="shared" si="5"/>
        <v>0</v>
      </c>
      <c r="AD19" s="956">
        <f t="shared" si="5"/>
        <v>0</v>
      </c>
      <c r="AE19" s="956">
        <f t="shared" si="5"/>
        <v>0</v>
      </c>
      <c r="AF19" s="957">
        <f t="shared" si="5"/>
        <v>345</v>
      </c>
      <c r="AG19" s="957">
        <f t="shared" si="5"/>
        <v>0</v>
      </c>
      <c r="AH19" s="957">
        <f t="shared" si="5"/>
        <v>0</v>
      </c>
      <c r="AI19" s="957">
        <f t="shared" si="5"/>
        <v>0</v>
      </c>
      <c r="AJ19" s="958">
        <f t="shared" si="5"/>
        <v>0</v>
      </c>
      <c r="AK19" s="958">
        <f t="shared" si="5"/>
        <v>0</v>
      </c>
      <c r="AL19" s="950">
        <f t="shared" si="5"/>
        <v>102</v>
      </c>
      <c r="AM19" s="950">
        <f t="shared" si="5"/>
        <v>125</v>
      </c>
      <c r="AN19" s="950">
        <f t="shared" si="5"/>
        <v>0</v>
      </c>
      <c r="AO19" s="950">
        <f t="shared" si="5"/>
        <v>0</v>
      </c>
      <c r="AP19" s="950">
        <f>IF(ISNUMBER(((Datos!L19/Datos!K19)*11)/factor_trimestre),((Datos!L19/Datos!K19)*11)/factor_trimestre," - ")</f>
        <v>4.6506098821583626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-0.64160401002506262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2.9294755877034357E-2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10.782702196883054</v>
      </c>
      <c r="F21" s="735">
        <f>IF(ISNUMBER(STDEV(F8:F18)),STDEV(F8:F18),"-")</f>
        <v>230.36275740666068</v>
      </c>
      <c r="G21" s="736">
        <f>IF(ISNUMBER(STDEV(G8:G18)),STDEV(G8:G18),"-")</f>
        <v>230.9401076758503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147.80166891254422</v>
      </c>
      <c r="AC21" s="737">
        <f>IF(ISNUMBER(STDEV(AC8:AC18)),STDEV(AC8:AC18),"-")</f>
        <v>0</v>
      </c>
      <c r="AD21" s="740"/>
      <c r="AE21" s="740"/>
      <c r="AF21" s="740"/>
      <c r="AG21" s="740"/>
      <c r="AH21" s="740"/>
      <c r="AI21" s="740"/>
      <c r="AJ21" s="741">
        <f>IF(ISNUMBER(STDEV(AJ8:AJ18)),STDEV(AJ8:AJ18),"-")</f>
        <v>0</v>
      </c>
      <c r="AK21" s="743"/>
      <c r="AL21" s="735">
        <f>IF(ISNUMBER(STDEV(AL8:AL18)),STDEV(AL8:AL18),"-")</f>
        <v>58.889727457341827</v>
      </c>
      <c r="AM21" s="735"/>
      <c r="AN21" s="735">
        <f>IF(ISNUMBER(STDEV(AN8:AN18)),STDEV(AN8:AN18),"-")</f>
        <v>0</v>
      </c>
      <c r="AO21" s="741">
        <f>IF(ISNUMBER(STDEV(AO8:AO18)),STDEV(AO8:AO18),"-")</f>
        <v>0</v>
      </c>
      <c r="AP21" s="778">
        <f>IF(ISNUMBER(STDEV(AP8:AP18)),STDEV(AP8:AP18),"-")</f>
        <v>3.1090778390639553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6PqhesaEcMS//f0HbY6YFCNd4ptiMU6lMorfBXwDGaEPDpEEdEuiljEHmO+iRkzDpmy/9oOMYQ2+7r+jHh8qHg==" saltValue="FlxRAb8y08bRhy26w/AO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MALAGA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18</v>
      </c>
      <c r="D9" s="402">
        <f>Datos!BK9</f>
        <v>0</v>
      </c>
      <c r="E9" s="402">
        <f>Datos!AQ9</f>
        <v>18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4</v>
      </c>
      <c r="D10" s="402">
        <f>Datos!BK10</f>
        <v>0</v>
      </c>
      <c r="E10" s="402">
        <f>Datos!AQ10</f>
        <v>4</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14</v>
      </c>
      <c r="D15" s="402">
        <f>Datos!BK15</f>
        <v>0</v>
      </c>
      <c r="E15" s="402">
        <f>Datos!AQ15</f>
        <v>14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sWMw0y4gUxn3QwsTMzF9X4vxDd3Jf1sFP+1LVnfDPD385ZpVUu0Zl3IZ2PlP4vYufUeqlGubv/yPRfkWKLeZQ==" saltValue="yHAukF9L8odl2miFQPPl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MALAGA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18</v>
      </c>
      <c r="C9" s="409">
        <f>Datos!AQ9</f>
        <v>18</v>
      </c>
      <c r="D9" s="402">
        <f>IF(ISNUMBER(Datos!M9),Datos!M9," - ")</f>
        <v>1950</v>
      </c>
      <c r="E9" s="403">
        <f t="shared" ref="E9:E13" si="0">IF(ISNUMBER(D9/B9),D9/B9," - ")</f>
        <v>108.33333333333333</v>
      </c>
      <c r="F9" s="402">
        <f>IF(ISNUMBER(Datos!N9),Datos!N9," - ")</f>
        <v>7050</v>
      </c>
      <c r="G9" s="403">
        <f t="shared" ref="G9:G13" si="1">IF(ISNUMBER(F9/B9),F9/B9," - ")</f>
        <v>391.66666666666669</v>
      </c>
      <c r="H9" s="402">
        <f>IF(ISNUMBER(Datos!O9),Datos!O9," - ")</f>
        <v>3800</v>
      </c>
      <c r="I9" s="403">
        <f>IF(ISNUMBER(H9/B9),H9/B9," - ")</f>
        <v>211.11111111111111</v>
      </c>
      <c r="BZ9" s="1185">
        <f>Datos!EZ9</f>
        <v>0</v>
      </c>
    </row>
    <row r="10" spans="1:78">
      <c r="A10" s="401" t="str">
        <f>Datos!A10</f>
        <v>Jdos. Violencia contra la mujer/Secc Viol. TI.</v>
      </c>
      <c r="B10" s="426">
        <f>Datos!AO10</f>
        <v>4</v>
      </c>
      <c r="C10" s="409">
        <f>Datos!AQ10</f>
        <v>4</v>
      </c>
      <c r="D10" s="402">
        <f>IF(ISNUMBER(Datos!M10),Datos!M10," - ")</f>
        <v>102</v>
      </c>
      <c r="E10" s="403">
        <f>IF(ISNUMBER(D10/B10),D10/B10," - ")</f>
        <v>25.5</v>
      </c>
      <c r="F10" s="402">
        <f>IF(ISNUMBER(Datos!N10),Datos!N10," - ")</f>
        <v>125</v>
      </c>
      <c r="G10" s="403">
        <f>IF(ISNUMBER(F10/B10),F10/B10," - ")</f>
        <v>31.25</v>
      </c>
      <c r="H10" s="402">
        <f>IF(ISNUMBER(Datos!O10),Datos!O10," - ")</f>
        <v>46</v>
      </c>
      <c r="I10" s="403">
        <f t="shared" ref="I10:I12" si="2">IF(ISNUMBER(H10/B10),H10/B10," - ")</f>
        <v>11.5</v>
      </c>
      <c r="BZ10" s="1185">
        <f>Datos!EZ10</f>
        <v>0</v>
      </c>
    </row>
    <row r="11" spans="1:78">
      <c r="A11" s="401" t="str">
        <f>Datos!A11</f>
        <v xml:space="preserve">Jdos. Familia                                   </v>
      </c>
      <c r="B11" s="426">
        <f>Datos!AO11</f>
        <v>4</v>
      </c>
      <c r="C11" s="409">
        <f>Datos!AQ11</f>
        <v>4</v>
      </c>
      <c r="D11" s="402">
        <f>IF(ISNUMBER(Datos!M11),Datos!M11," - ")</f>
        <v>675</v>
      </c>
      <c r="E11" s="403">
        <f t="shared" si="0"/>
        <v>168.75</v>
      </c>
      <c r="F11" s="402">
        <f>IF(ISNUMBER(Datos!N11),Datos!N11," - ")</f>
        <v>545</v>
      </c>
      <c r="G11" s="403">
        <f t="shared" si="1"/>
        <v>136.25</v>
      </c>
      <c r="H11" s="402">
        <f>IF(ISNUMBER(Datos!O11),Datos!O11," - ")</f>
        <v>537</v>
      </c>
      <c r="I11" s="403">
        <f t="shared" si="2"/>
        <v>134.25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26</v>
      </c>
      <c r="C13" s="850">
        <f>Datos!AR13</f>
        <v>26</v>
      </c>
      <c r="D13" s="848">
        <f>SUBTOTAL(9,D9:D12)</f>
        <v>2727</v>
      </c>
      <c r="E13" s="849">
        <f t="shared" si="0"/>
        <v>104.88461538461539</v>
      </c>
      <c r="F13" s="848">
        <f>SUBTOTAL(9,F9:F12)</f>
        <v>7720</v>
      </c>
      <c r="G13" s="849">
        <f t="shared" si="1"/>
        <v>296.92307692307691</v>
      </c>
      <c r="H13" s="848">
        <f>SUBTOTAL(9,H9:H12)</f>
        <v>4383</v>
      </c>
      <c r="I13" s="849">
        <f>IF(ISNUMBER(H13/B13),H13/B13," - ")</f>
        <v>168.57692307692307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14</v>
      </c>
      <c r="C15" s="427">
        <f>Datos!AQ15</f>
        <v>14</v>
      </c>
      <c r="D15" s="402">
        <f>IF(ISNUMBER(Datos!M15),Datos!M15," - ")</f>
        <v>1667</v>
      </c>
      <c r="E15" s="403">
        <f t="shared" ref="E15:E18" si="3">IF(ISNUMBER(D15/B15),D15/B15," - ")</f>
        <v>119.07142857142857</v>
      </c>
      <c r="F15" s="402">
        <f>IF(ISNUMBER(Datos!N15),Datos!N15," - ")</f>
        <v>9471</v>
      </c>
      <c r="G15" s="403">
        <f t="shared" ref="G15:G18" si="4">IF(ISNUMBER(F15/B15),F15/B15," - ")</f>
        <v>676.5</v>
      </c>
      <c r="H15" s="402">
        <f>IF(ISNUMBER(Datos!O15),Datos!O15," - ")</f>
        <v>336</v>
      </c>
      <c r="I15" s="403">
        <f t="shared" ref="I15:I17" si="5">IF(ISNUMBER(H15/B15),H15/B15," - ")</f>
        <v>24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4</v>
      </c>
      <c r="C17" s="427">
        <f>Datos!AQ17</f>
        <v>4</v>
      </c>
      <c r="D17" s="402">
        <f>IF(ISNUMBER(Datos!M17),Datos!M17," - ")</f>
        <v>105</v>
      </c>
      <c r="E17" s="403">
        <f>IF(ISNUMBER(D17/B17),D17/B17," - ")</f>
        <v>26.25</v>
      </c>
      <c r="F17" s="402">
        <f>IF(ISNUMBER(Datos!N17),Datos!N17," - ")</f>
        <v>1086</v>
      </c>
      <c r="G17" s="403">
        <f>IF(ISNUMBER(F17/B17),F17/B17," - ")</f>
        <v>271.5</v>
      </c>
      <c r="H17" s="402">
        <f>IF(ISNUMBER(Datos!O17),Datos!O17," - ")</f>
        <v>3</v>
      </c>
      <c r="I17" s="403">
        <f t="shared" si="5"/>
        <v>0.75</v>
      </c>
      <c r="BZ17" s="1185">
        <f>Datos!EZ17</f>
        <v>0</v>
      </c>
    </row>
    <row r="18" spans="1:78" ht="14.25" thickTop="1" thickBot="1">
      <c r="A18" s="847" t="str">
        <f>Datos!A18</f>
        <v>TOTAL</v>
      </c>
      <c r="B18" s="848">
        <f>Datos!AP18</f>
        <v>18</v>
      </c>
      <c r="C18" s="850">
        <f>Datos!AR18</f>
        <v>18</v>
      </c>
      <c r="D18" s="848">
        <f>SUBTOTAL(9,D15:D17)</f>
        <v>1772</v>
      </c>
      <c r="E18" s="849">
        <f t="shared" si="3"/>
        <v>98.444444444444443</v>
      </c>
      <c r="F18" s="848">
        <f>SUBTOTAL(9,F15:F17)</f>
        <v>10557</v>
      </c>
      <c r="G18" s="849">
        <f t="shared" si="4"/>
        <v>586.5</v>
      </c>
      <c r="H18" s="848">
        <f>SUBTOTAL(9,H15:H17)</f>
        <v>339</v>
      </c>
      <c r="I18" s="849">
        <f>IF(ISNUMBER(H18/B18),H18/B18," - ")</f>
        <v>18.833333333333332</v>
      </c>
      <c r="BZ18" s="1185"/>
    </row>
    <row r="19" spans="1:78" ht="14.25" thickTop="1" thickBot="1">
      <c r="A19" s="792" t="str">
        <f>Datos!A19</f>
        <v>TOTAL JURISDICCIONES</v>
      </c>
      <c r="B19" s="793">
        <f>Datos!AP19</f>
        <v>40</v>
      </c>
      <c r="C19" s="793">
        <f>Datos!AR19</f>
        <v>40</v>
      </c>
      <c r="D19" s="793">
        <f>SUBTOTAL(9,D8:D18)</f>
        <v>4499</v>
      </c>
      <c r="E19" s="794">
        <f>IF(ISNUMBER(D19/B19),D19/B19," - ")</f>
        <v>112.47499999999999</v>
      </c>
      <c r="F19" s="793">
        <f>SUBTOTAL(9,F8:F18)</f>
        <v>18277</v>
      </c>
      <c r="G19" s="794">
        <f>IF(ISNUMBER(F19/B19),F19/B19," - ")</f>
        <v>456.92500000000001</v>
      </c>
      <c r="H19" s="793">
        <f>SUBTOTAL(9,H8:H18)</f>
        <v>4722</v>
      </c>
      <c r="I19" s="794">
        <f>IF(ISNUMBER(H19/B19),H19/B19," - ")</f>
        <v>118.05</v>
      </c>
    </row>
    <row r="22" spans="1:78">
      <c r="A22" s="390" t="str">
        <f>Criterios!A4</f>
        <v>Fecha Informe: 17 mar. 2026</v>
      </c>
    </row>
    <row r="27" spans="1:78">
      <c r="A27" s="413"/>
    </row>
  </sheetData>
  <sheetProtection algorithmName="SHA-512" hashValue="jCbjFIyBNhpcLwGXCtxV2y/v6Eg4DBjrE2D9+R5okPFjxMyCdIEPESJpQukiaFukV3JsxiVrZMPIrxx+j1Iyvw==" saltValue="kKDjrs7Qg3CS/wqj+qrC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MALAGA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2343</v>
      </c>
      <c r="C9" s="433">
        <f>IF(ISNUMBER(Datos!Q9),Datos!Q9," - ")</f>
        <v>1437</v>
      </c>
      <c r="D9" s="407">
        <f>IF(ISNUMBER(Datos!R9),Datos!R9," - ")</f>
        <v>27620</v>
      </c>
    </row>
    <row r="10" spans="1:4">
      <c r="A10" s="401" t="str">
        <f>Datos!A10</f>
        <v>Jdos. Violencia contra la mujer/Secc Viol. TI.</v>
      </c>
      <c r="B10" s="432">
        <f>IF(ISNUMBER(Datos!P10),Datos!P10," - ")</f>
        <v>44</v>
      </c>
      <c r="C10" s="433">
        <f>IF(ISNUMBER(Datos!Q10),Datos!Q10," - ")</f>
        <v>23</v>
      </c>
      <c r="D10" s="407">
        <f>IF(ISNUMBER(Datos!R10),Datos!R10," - ")</f>
        <v>404</v>
      </c>
    </row>
    <row r="11" spans="1:4">
      <c r="A11" s="401" t="str">
        <f>Datos!A11</f>
        <v xml:space="preserve">Jdos. Familia                                   </v>
      </c>
      <c r="B11" s="432">
        <f>IF(ISNUMBER(Datos!P11),Datos!P11," - ")</f>
        <v>185</v>
      </c>
      <c r="C11" s="433">
        <f>IF(ISNUMBER(Datos!Q11),Datos!Q11," - ")</f>
        <v>193</v>
      </c>
      <c r="D11" s="407">
        <f>IF(ISNUMBER(Datos!R11),Datos!R11," - ")</f>
        <v>2044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2572</v>
      </c>
      <c r="C13" s="852">
        <f>SUBTOTAL(9,C9:C12)</f>
        <v>1653</v>
      </c>
      <c r="D13" s="850">
        <f>SUBTOTAL(9,D9:D12)</f>
        <v>30068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676</v>
      </c>
      <c r="C15" s="433">
        <f>IF(ISNUMBER(Datos!Q15),Datos!Q15," - ")</f>
        <v>708</v>
      </c>
      <c r="D15" s="407">
        <f>IF(ISNUMBER(Datos!R15),Datos!R15," - ")</f>
        <v>1214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6</v>
      </c>
      <c r="D17" s="407">
        <f>IF(ISNUMBER(Datos!R17),Datos!R17," - ")</f>
        <v>24</v>
      </c>
    </row>
    <row r="18" spans="1:4" ht="14.25" thickTop="1" thickBot="1">
      <c r="A18" s="847" t="str">
        <f>Datos!A18</f>
        <v>TOTAL</v>
      </c>
      <c r="B18" s="848">
        <f>SUBTOTAL(9,B15:B17)</f>
        <v>686</v>
      </c>
      <c r="C18" s="852">
        <f>SUBTOTAL(9,C15:C17)</f>
        <v>714</v>
      </c>
      <c r="D18" s="850">
        <f>SUBTOTAL(9,D15:D17)</f>
        <v>1238</v>
      </c>
    </row>
    <row r="19" spans="1:4" ht="16.5" customHeight="1" thickTop="1" thickBot="1">
      <c r="A19" s="792" t="str">
        <f>Datos!A19</f>
        <v>TOTAL JURISDICCIONES</v>
      </c>
      <c r="B19" s="797">
        <f>SUBTOTAL(9,B8:B18)</f>
        <v>3258</v>
      </c>
      <c r="C19" s="798">
        <f>SUBTOTAL(9,C8:C18)</f>
        <v>2367</v>
      </c>
      <c r="D19" s="799">
        <f>SUBTOTAL(9,D8:D18)</f>
        <v>31306</v>
      </c>
    </row>
    <row r="20" spans="1:4" ht="7.5" customHeight="1"/>
    <row r="21" spans="1:4" ht="6" customHeight="1"/>
    <row r="22" spans="1:4">
      <c r="A22" s="390" t="str">
        <f>Criterios!A4</f>
        <v>Fecha Informe: 17 mar. 2026</v>
      </c>
    </row>
    <row r="27" spans="1:4">
      <c r="A27" s="413"/>
    </row>
  </sheetData>
  <sheetProtection algorithmName="SHA-512" hashValue="CnloAViU3QQLle9ocfFMin1M6Ok85J5V0H7kH2ttMPYPyuDUZIoCC1brqfb6e6mzgoLBg3FZCM1WXo1jfz5Ubw==" saltValue="vtO+saFqn4lKejn+8lXz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MALAGA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-3.1984519947640996E-2</v>
      </c>
      <c r="C9" s="455">
        <f>IF(ISNUMBER(
   IF(J_V="SI",(Datos!J9-Datos!T9)/Datos!T9,(Datos!J9+Datos!Z9-(Datos!T9+Datos!AH9))/(Datos!T9+Datos!AH9))
     ),IF(J_V="SI",(Datos!J9-Datos!T9)/Datos!T9,(Datos!J9+Datos!Z9-(Datos!T9+Datos!AH9))/(Datos!T9+Datos!AH9))," - ")</f>
        <v>-0.36199306296691569</v>
      </c>
      <c r="D9" s="455">
        <f>IF(ISNUMBER(
   IF(J_V="SI",(Datos!K9-Datos!U9)/Datos!U9,(Datos!K9+Datos!AA9-(Datos!U9+Datos!AI9))/(Datos!U9+Datos!AI9))
     ),IF(J_V="SI",(Datos!K9-Datos!U9)/Datos!U9,(Datos!K9+Datos!AA9-(Datos!U9+Datos!AI9))/(Datos!U9+Datos!AI9))," - ")</f>
        <v>-0.1482128557909296</v>
      </c>
      <c r="E9" s="455">
        <f>IF(ISNUMBER(
   IF(J_V="SI",(Datos!L9-Datos!V9)/Datos!V9,(Datos!L9+Datos!AB9-(Datos!V9+Datos!AJ9))/(Datos!V9+Datos!AJ9))
     ),IF(J_V="SI",(Datos!L9-Datos!V9)/Datos!V9,(Datos!L9+Datos!AB9-(Datos!V9+Datos!AJ9))/(Datos!V9+Datos!AJ9))," - ")</f>
        <v>-0.10539619738432794</v>
      </c>
      <c r="F9" s="455">
        <f>IF(ISNUMBER((Datos!M9-Datos!W9)/Datos!W9),(Datos!M9-Datos!W9)/Datos!W9," - ")</f>
        <v>-0.21148402749696724</v>
      </c>
      <c r="G9" s="456">
        <f>IF(ISNUMBER((Datos!N9-Datos!X9)/Datos!X9),(Datos!N9-Datos!X9)/Datos!X9," - ")</f>
        <v>-0.16111375535459305</v>
      </c>
      <c r="H9" s="454">
        <f>IF(ISNUMBER(((NºAsuntos!G9/NºAsuntos!E9)-Datos!BD9)/Datos!BD9),((NºAsuntos!G9/NºAsuntos!E9)-Datos!BD9)/Datos!BD9," - ")</f>
        <v>0.33507505133114301</v>
      </c>
      <c r="I9" s="455">
        <f>IF(ISNUMBER(((NºAsuntos!I9/NºAsuntos!G9)-Datos!BE9)/Datos!BE9),((NºAsuntos!I9/NºAsuntos!G9)-Datos!BE9)/Datos!BE9," - ")</f>
        <v>5.0266852109348385E-2</v>
      </c>
      <c r="J9" s="460">
        <f>IF(ISNUMBER((('Resol  Asuntos'!D9/NºAsuntos!G9)-Datos!BF9)/Datos!BF9),(('Resol  Asuntos'!D9/NºAsuntos!G9)-Datos!BF9)/Datos!BF9," - ")</f>
        <v>-0.72759348727237094</v>
      </c>
      <c r="K9" s="461">
        <f>IF(ISNUMBER((((NºAsuntos!C9+NºAsuntos!E9)/NºAsuntos!G9)-Datos!BG9)/Datos!BG9),(((NºAsuntos!C9+NºAsuntos!E9)/NºAsuntos!G9)-Datos!BG9)/Datos!BG9," - ")</f>
        <v>2.0595580700401808E-2</v>
      </c>
    </row>
    <row r="10" spans="1:11" ht="21">
      <c r="A10" s="401" t="str">
        <f>Datos!A10</f>
        <v>Jdos. Violencia contra la mujer/Secc Viol. TI.</v>
      </c>
      <c r="B10" s="454">
        <f>IF(ISNUMBER((Datos!I10-Datos!S10)/Datos!S10),(Datos!I10-Datos!S10)/Datos!S10," - ")</f>
        <v>5.2631578947368418E-2</v>
      </c>
      <c r="C10" s="455">
        <f>IF(ISNUMBER((Datos!J10-Datos!T10)/Datos!T10),(Datos!J10-Datos!T10)/Datos!T10," - ")</f>
        <v>5.2083333333333336E-2</v>
      </c>
      <c r="D10" s="455">
        <f>IF(ISNUMBER((Datos!K10-Datos!U10)/Datos!U10),(Datos!K10-Datos!U10)/Datos!U10," - ")</f>
        <v>0.38378378378378381</v>
      </c>
      <c r="E10" s="455">
        <f>IF(ISNUMBER((Datos!L10-Datos!V10)/Datos!V10),(Datos!L10-Datos!V10)/Datos!V10," - ")</f>
        <v>-4.4321329639889197E-2</v>
      </c>
      <c r="F10" s="455">
        <f>IF(ISNUMBER((Datos!M10-Datos!W10)/Datos!W10),(Datos!M10-Datos!W10)/Datos!W10," - ")</f>
        <v>0.52238805970149249</v>
      </c>
      <c r="G10" s="456">
        <f>IF(ISNUMBER((Datos!N10-Datos!X10)/Datos!X10),(Datos!N10-Datos!X10)/Datos!X10," - ")</f>
        <v>0.13636363636363635</v>
      </c>
      <c r="H10" s="454">
        <f>IF(ISNUMBER(((NºAsuntos!G10/NºAsuntos!E10)-Datos!BD10)/Datos!BD10),((NºAsuntos!G10/NºAsuntos!E10)-Datos!BD10)/Datos!BD10," - ")</f>
        <v>0.31527963607171533</v>
      </c>
      <c r="I10" s="455">
        <f>IF(ISNUMBER(((NºAsuntos!I10/NºAsuntos!G10)-Datos!BE10)/Datos!BE10),((NºAsuntos!I10/NºAsuntos!G10)-Datos!BE10)/Datos!BE10," - ")</f>
        <v>-0.30937283587257619</v>
      </c>
      <c r="J10" s="460">
        <f>IF(ISNUMBER((('Resol  Asuntos'!D10/NºAsuntos!G10)-Datos!BF10)/Datos!BF10),(('Resol  Asuntos'!D10/NºAsuntos!G10)-Datos!BF10)/Datos!BF10," - ")</f>
        <v>0.10016324626865665</v>
      </c>
      <c r="K10" s="461">
        <f>IF(ISNUMBER((((NºAsuntos!C10+NºAsuntos!E10)/NºAsuntos!G10)-Datos!BG10)/Datos!BG10),(((NºAsuntos!C10+NºAsuntos!E10)/NºAsuntos!G10)-Datos!BG10)/Datos!BG10," - ")</f>
        <v>-0.23944219842657341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-0.22147651006711411</v>
      </c>
      <c r="C11" s="455">
        <f>IF(ISNUMBER(
   IF(J_V="SI",(Datos!J11-Datos!T11)/Datos!T11,(Datos!J11+Datos!Z11-(Datos!T11+Datos!AH11))/(Datos!T11+Datos!AH11))
     ),IF(J_V="SI",(Datos!J11-Datos!T11)/Datos!T11,(Datos!J11+Datos!Z11-(Datos!T11+Datos!AH11))/(Datos!T11+Datos!AH11))," - ")</f>
        <v>-0.12528132033008252</v>
      </c>
      <c r="D11" s="455">
        <f>IF(ISNUMBER(
   IF(J_V="SI",(Datos!K11-Datos!U11)/Datos!U11,(Datos!K11+Datos!AA11-(Datos!U11+Datos!AI11))/(Datos!U11+Datos!AI11))
     ),IF(J_V="SI",(Datos!K11-Datos!U11)/Datos!U11,(Datos!K11+Datos!AA11-(Datos!U11+Datos!AI11))/(Datos!U11+Datos!AI11))," - ")</f>
        <v>4.0599625234228609E-2</v>
      </c>
      <c r="E11" s="455">
        <f>IF(ISNUMBER(
   IF(J_V="SI",(Datos!L11-Datos!V11)/Datos!V11,(Datos!L11+Datos!AB11-(Datos!V11+Datos!AJ11))/(Datos!V11+Datos!AJ11))
     ),IF(J_V="SI",(Datos!L11-Datos!V11)/Datos!V11,(Datos!L11+Datos!AB11-(Datos!V11+Datos!AJ11))/(Datos!V11+Datos!AJ11))," - ")</f>
        <v>-0.24812362030905077</v>
      </c>
      <c r="F11" s="455">
        <f>IF(ISNUMBER((Datos!M11-Datos!W11)/Datos!W11),(Datos!M11-Datos!W11)/Datos!W11," - ")</f>
        <v>-6.8965517241379309E-2</v>
      </c>
      <c r="G11" s="456">
        <f>IF(ISNUMBER((Datos!N11-Datos!X11)/Datos!X11),(Datos!N11-Datos!X11)/Datos!X11," - ")</f>
        <v>0.10997963340122199</v>
      </c>
      <c r="H11" s="454">
        <f>IF(ISNUMBER(((NºAsuntos!G11/NºAsuntos!E11)-Datos!BD11)/Datos!BD11),((NºAsuntos!G11/NºAsuntos!E11)-Datos!BD11)/Datos!BD11," - ")</f>
        <v>0.18963919420002287</v>
      </c>
      <c r="I11" s="455">
        <f>IF(ISNUMBER(((NºAsuntos!I11/NºAsuntos!G11)-Datos!BE11)/Datos!BE11),((NºAsuntos!I11/NºAsuntos!G11)-Datos!BE11)/Datos!BE11," - ")</f>
        <v>-0.27745853308210705</v>
      </c>
      <c r="J11" s="460">
        <f>IF(ISNUMBER((('Resol  Asuntos'!D11/NºAsuntos!G11)-Datos!BF11)/Datos!BF11),(('Resol  Asuntos'!D11/NºAsuntos!G11)-Datos!BF11)/Datos!BF11," - ")</f>
        <v>0.32110889162182182</v>
      </c>
      <c r="K11" s="461">
        <f>IF(ISNUMBER((((NºAsuntos!C11+NºAsuntos!E11)/NºAsuntos!G11)-Datos!BG11)/Datos!BG11),(((NºAsuntos!C11+NºAsuntos!E11)/NºAsuntos!G11)-Datos!BG11)/Datos!BG11," - ")</f>
        <v>-0.21997697164742777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-4.375246353961372E-2</v>
      </c>
      <c r="C13" s="854">
        <f>IF(ISNUMBER(
   IF(J_V="SI",(Datos!J13-Datos!T13)/Datos!T13,(Datos!J13+Datos!Z13-(Datos!T13+Datos!AH13))/(Datos!T13+Datos!AH13))
     ),IF(J_V="SI",(Datos!J13-Datos!T13)/Datos!T13,(Datos!J13+Datos!Z13-(Datos!T13+Datos!AH13))/(Datos!T13+Datos!AH13))," - ")</f>
        <v>-0.33807592177756252</v>
      </c>
      <c r="D13" s="854">
        <f>IF(ISNUMBER(
   IF(J_V="SI",(Datos!K13-Datos!U13)/Datos!U13,(Datos!K13+Datos!AA13-(Datos!U13+Datos!AI13))/(Datos!U13+Datos!AI13))
     ),IF(J_V="SI",(Datos!K13-Datos!U13)/Datos!U13,(Datos!K13+Datos!AA13-(Datos!U13+Datos!AI13))/(Datos!U13+Datos!AI13))," - ")</f>
        <v>-0.12239902080783353</v>
      </c>
      <c r="E13" s="854">
        <f>IF(ISNUMBER(
   IF(J_V="SI",(Datos!L13-Datos!V13)/Datos!V13,(Datos!L13+Datos!AB13-(Datos!V13+Datos!AJ13))/(Datos!V13+Datos!AJ13))
     ),IF(J_V="SI",(Datos!L13-Datos!V13)/Datos!V13,(Datos!L13+Datos!AB13-(Datos!V13+Datos!AJ13))/(Datos!V13+Datos!AJ13))," - ")</f>
        <v>-0.11311567833529804</v>
      </c>
      <c r="F13" s="855">
        <f>IF(ISNUMBER((Datos!M13-Datos!W13)/Datos!W13),(Datos!M13-Datos!W13)/Datos!W13," - ")</f>
        <v>-0.16477794793261868</v>
      </c>
      <c r="G13" s="856">
        <f>IF(ISNUMBER((Datos!N13-Datos!X13)/Datos!X13),(Datos!N13-Datos!X13)/Datos!X13," - ")</f>
        <v>-0.14269850083287064</v>
      </c>
      <c r="H13" s="856">
        <f>IF(ISNUMBER(((NºAsuntos!G13/NºAsuntos!E13)-Datos!BD13)/Datos!BD13),((NºAsuntos!G13/NºAsuntos!E13)-Datos!BD13)/Datos!BD13," - ")</f>
        <v>0.32583329125738719</v>
      </c>
      <c r="I13" s="856">
        <f>IF(ISNUMBER(((NºAsuntos!I13/NºAsuntos!G13)-Datos!BE13)/Datos!BE13),((NºAsuntos!I13/NºAsuntos!G13)-Datos!BE13)/Datos!BE13," - ")</f>
        <v>1.0578090376654836E-2</v>
      </c>
      <c r="J13" s="856">
        <f>IF(ISNUMBER((('Resol  Asuntos'!D13/NºAsuntos!G13)-Datos!BF13)/Datos!BF13),(('Resol  Asuntos'!D13/NºAsuntos!G13)-Datos!BF13)/Datos!BF13," - ")</f>
        <v>-0.65327664270994501</v>
      </c>
      <c r="K13" s="856">
        <f>IF(ISNUMBER((((NºAsuntos!C13+NºAsuntos!E13)/NºAsuntos!G13)-Datos!BG13)/Datos!BG13),(((NºAsuntos!C13+NºAsuntos!E13)/NºAsuntos!G13)-Datos!BG13)/Datos!BG13," - ")</f>
        <v>-1.1889989921315885E-2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0.12020701011526699</v>
      </c>
      <c r="C15" s="455">
        <f>IF(ISNUMBER(
   IF(D_I="SI",(Datos!J15-Datos!T15)/Datos!T15,(Datos!J15+Datos!AD15-(Datos!T15+Datos!AL15))/(Datos!T15+Datos!AL15))
     ),IF(D_I="SI",(Datos!J15-Datos!T15)/Datos!T15,(Datos!J15+Datos!AD15-(Datos!T15+Datos!AL15))/(Datos!T15+Datos!AL15))," - ")</f>
        <v>-0.14487489911218726</v>
      </c>
      <c r="D15" s="455">
        <f>IF(ISNUMBER(
   IF(D_I="SI",(Datos!K15-Datos!U15)/Datos!U15,(Datos!K15+Datos!AE15-(Datos!U15+Datos!AM15))/(Datos!U15+Datos!AM15))
     ),IF(D_I="SI",(Datos!K15-Datos!U15)/Datos!U15,(Datos!K15+Datos!AE15-(Datos!U15+Datos!AM15))/(Datos!U15+Datos!AM15))," - ")</f>
        <v>-0.15112803984764137</v>
      </c>
      <c r="E15" s="455">
        <f>IF(ISNUMBER(
   IF(D_I="SI",(Datos!L15-Datos!V15)/Datos!V15,(Datos!L15+Datos!AF15-(Datos!V15+Datos!AN15))/(Datos!V15+Datos!AN15))
     ),IF(D_I="SI",(Datos!L15-Datos!V15)/Datos!V15,(Datos!L15+Datos!AF15-(Datos!V15+Datos!AN15))/(Datos!V15+Datos!AN15))," - ")</f>
        <v>0.13309922972360672</v>
      </c>
      <c r="F15" s="455">
        <f>IF(ISNUMBER((Datos!M15-Datos!W15)/Datos!W15),(Datos!M15-Datos!W15)/Datos!W15," - ")</f>
        <v>0.14886285320468642</v>
      </c>
      <c r="G15" s="456">
        <f>IF(ISNUMBER((Datos!N15-Datos!X15)/Datos!X15),(Datos!N15-Datos!X15)/Datos!X15," - ")</f>
        <v>-0.18444846292947559</v>
      </c>
      <c r="H15" s="454">
        <f>IF(ISNUMBER(((NºAsuntos!G15/NºAsuntos!E15)-Datos!BD15)/Datos!BD15),((NºAsuntos!G15/NºAsuntos!E15)-Datos!BD15)/Datos!BD15," - ")</f>
        <v>-7.3125449468878735E-3</v>
      </c>
      <c r="I15" s="455">
        <f>IF(ISNUMBER(((NºAsuntos!I15/NºAsuntos!G15)-Datos!BE15)/Datos!BE15),((NºAsuntos!I15/NºAsuntos!G15)-Datos!BE15)/Datos!BE15," - ")</f>
        <v>0.33482937700078336</v>
      </c>
      <c r="J15" s="460">
        <f>IF(ISNUMBER((('Resol  Asuntos'!D15/NºAsuntos!G15)-Datos!BF15)/Datos!BF15),(('Resol  Asuntos'!D15/NºAsuntos!G15)-Datos!BF15)/Datos!BF15," - ")</f>
        <v>0.35339946085447832</v>
      </c>
      <c r="K15" s="461">
        <f>IF(ISNUMBER((((NºAsuntos!C15+NºAsuntos!E15)/NºAsuntos!G15)-Datos!BG15)/Datos!BG15),(((NºAsuntos!C15+NºAsuntos!E15)/NºAsuntos!G15)-Datos!BG15)/Datos!BG15," - ")</f>
        <v>0.11008098332318687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0.32939914163090128</v>
      </c>
      <c r="C17" s="455">
        <f>IF(ISNUMBER(
   IF(D_I="SI",(Datos!J17-Datos!T17)/Datos!T17,(Datos!J17+Datos!AD17-(Datos!T17+Datos!AL17))/(Datos!T17+Datos!AL17))
     ),IF(D_I="SI",(Datos!J17-Datos!T17)/Datos!T17,(Datos!J17+Datos!AD17-(Datos!T17+Datos!AL17))/(Datos!T17+Datos!AL17))," - ")</f>
        <v>8.3986562150055996E-2</v>
      </c>
      <c r="D17" s="455">
        <f>IF(ISNUMBER(
   IF(D_I="SI",(Datos!K17-Datos!U17)/Datos!U17,(Datos!K17+Datos!AE17-(Datos!U17+Datos!AM17))/(Datos!U17+Datos!AM17))
     ),IF(D_I="SI",(Datos!K17-Datos!U17)/Datos!U17,(Datos!K17+Datos!AE17-(Datos!U17+Datos!AM17))/(Datos!U17+Datos!AM17))," - ")</f>
        <v>7.9894179894179893E-2</v>
      </c>
      <c r="E17" s="455">
        <f>IF(ISNUMBER(
   IF(D_I="SI",(Datos!L17-Datos!V17)/Datos!V17,(Datos!L17+Datos!AF17-(Datos!V17+Datos!AN17))/(Datos!V17+Datos!AN17))
     ),IF(D_I="SI",(Datos!L17-Datos!V17)/Datos!V17,(Datos!L17+Datos!AF17-(Datos!V17+Datos!AN17))/(Datos!V17+Datos!AN17))," - ")</f>
        <v>0.37922705314009664</v>
      </c>
      <c r="F17" s="455">
        <f>IF(ISNUMBER((Datos!M17-Datos!W17)/Datos!W17),(Datos!M17-Datos!W17)/Datos!W17," - ")</f>
        <v>-2.7777777777777776E-2</v>
      </c>
      <c r="G17" s="456">
        <f>IF(ISNUMBER((Datos!N17-Datos!X17)/Datos!X17),(Datos!N17-Datos!X17)/Datos!X17," - ")</f>
        <v>-3.8938053097345132E-2</v>
      </c>
      <c r="H17" s="454">
        <f>IF(ISNUMBER(((NºAsuntos!G17/NºAsuntos!E17)-Datos!BD17)/Datos!BD17),((NºAsuntos!G17/NºAsuntos!E17)-Datos!BD17)/Datos!BD17," - ")</f>
        <v>-3.7753071843981355E-3</v>
      </c>
      <c r="I17" s="455">
        <f>IF(ISNUMBER(((NºAsuntos!I17/NºAsuntos!G17)-Datos!BE17)/Datos!BE17),((NºAsuntos!I17/NºAsuntos!G17)-Datos!BE17)/Datos!BE17," - ")</f>
        <v>0.27718722706260795</v>
      </c>
      <c r="J17" s="460">
        <f>IF(ISNUMBER((('Resol  Asuntos'!D17/NºAsuntos!G17)-Datos!BF17)/Datos!BF17),(('Resol  Asuntos'!D17/NºAsuntos!G17)-Datos!BF17)/Datos!BF17," - ")</f>
        <v>-9.9706026457618738E-2</v>
      </c>
      <c r="K17" s="461">
        <f>IF(ISNUMBER((((NºAsuntos!C17+NºAsuntos!E17)/NºAsuntos!G17)-Datos!BG17)/Datos!BG17),(((NºAsuntos!C17+NºAsuntos!E17)/NºAsuntos!G17)-Datos!BG17)/Datos!BG17," - ")</f>
        <v>8.1715559506929145E-2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0.14087343650625397</v>
      </c>
      <c r="C18" s="854">
        <f>IF(ISNUMBER(
   IF(Criterios!B14="SI",(Datos!J18-Datos!T18)/Datos!T18,(Datos!J18+Datos!AD18-(Datos!T18+Datos!AL18))/(Datos!T18+Datos!AL18))
     ),IF(Criterios!B14="SI",(Datos!J18-Datos!T18)/Datos!T18,(Datos!J18+Datos!AD18-(Datos!T18+Datos!AL18))/(Datos!T18+Datos!AL18))," - ")</f>
        <v>-0.1235103491532511</v>
      </c>
      <c r="D18" s="854">
        <f>IF(ISNUMBER(
   IF(Criterios!B14="SI",(Datos!K18-Datos!U18)/Datos!U18,(Datos!K18+Datos!AE18-(Datos!U18+Datos!AM18))/(Datos!U18+Datos!AM18))
     ),IF(Criterios!B14="SI",(Datos!K18-Datos!U18)/Datos!U18,(Datos!K18+Datos!AE18-(Datos!U18+Datos!AM18))/(Datos!U18+Datos!AM18))," - ")</f>
        <v>-0.12809285149037195</v>
      </c>
      <c r="E18" s="854">
        <f>IF(ISNUMBER(
   IF(Criterios!B14="SI",(Datos!L18-Datos!V18)/Datos!V18,(Datos!L18+Datos!AF18-(Datos!V18+Datos!AN18))/(Datos!V18+Datos!AN18))
     ),IF(Criterios!B14="SI",(Datos!L18-Datos!V18)/Datos!V18,(Datos!L18+Datos!AF18-(Datos!V18+Datos!AN18))/(Datos!V18+Datos!AN18))," - ")</f>
        <v>0.15420463960231981</v>
      </c>
      <c r="F18" s="855">
        <f>IF(ISNUMBER((Datos!M18-Datos!W18)/Datos!W18),(Datos!M18-Datos!W18)/Datos!W18," - ")</f>
        <v>0.13662604233483003</v>
      </c>
      <c r="G18" s="856">
        <f>IF(ISNUMBER((Datos!N18-Datos!X18)/Datos!X18),(Datos!N18-Datos!X18)/Datos!X18," - ")</f>
        <v>-0.17154516204975281</v>
      </c>
      <c r="H18" s="856">
        <f>IF(ISNUMBER(((NºAsuntos!G18/NºAsuntos!E18)-Datos!BD18)/Datos!BD18),((NºAsuntos!G18/NºAsuntos!E18)-Datos!BD18)/Datos!BD18," - ")</f>
        <v>-5.2282446606116556E-3</v>
      </c>
      <c r="I18" s="856">
        <f>IF(ISNUMBER(((NºAsuntos!I18/NºAsuntos!G18)-Datos!BE18)/Datos!BE18),((NºAsuntos!I18/NºAsuntos!G18)-Datos!BE18)/Datos!BE18," - ")</f>
        <v>0.32377013031173069</v>
      </c>
      <c r="J18" s="856">
        <f>IF(ISNUMBER((('Resol  Asuntos'!D18/NºAsuntos!G18)-Datos!BF18)/Datos!BF18),(('Resol  Asuntos'!D18/NºAsuntos!G18)-Datos!BF18)/Datos!BF18," - ")</f>
        <v>0.30360904171699071</v>
      </c>
      <c r="K18" s="856">
        <f>IF(ISNUMBER((((NºAsuntos!C18+NºAsuntos!E18)/NºAsuntos!G18)-Datos!BG18)/Datos!BG18),(((NºAsuntos!C18+NºAsuntos!E18)/NºAsuntos!G18)-Datos!BG18)/Datos!BG18," - ")</f>
        <v>0.10539651411362397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-7.0753227063109353E-3</v>
      </c>
      <c r="C19" s="801">
        <f>IF(ISNUMBER(
   IF(J_V="SI",(Datos!J19-Datos!T19)/Datos!T19,(Datos!J19+Datos!Z19-(Datos!T19+Datos!AH19))/(Datos!T19+Datos!AH19))
     ),IF(J_V="SI",(Datos!J19-Datos!T19)/Datos!T19,(Datos!J19+Datos!Z19-(Datos!T19+Datos!AH19))/(Datos!T19+Datos!AH19))," - ")</f>
        <v>-0.22292350416561474</v>
      </c>
      <c r="D19" s="801">
        <f>IF(ISNUMBER(
   IF(J_V="SI",(Datos!K19-Datos!U19)/Datos!U19,(Datos!K19+Datos!AA19-(Datos!U19+Datos!AI19))/(Datos!U19+Datos!AI19))
     ),IF(J_V="SI",(Datos!K19-Datos!U19)/Datos!U19,(Datos!K19+Datos!AA19-(Datos!U19+Datos!AI19))/(Datos!U19+Datos!AI19))," - ")</f>
        <v>-0.12552932304658043</v>
      </c>
      <c r="E19" s="801">
        <f>IF(ISNUMBER(
   IF(J_V="SI",(Datos!L19-Datos!V19)/Datos!V19,(Datos!L19+Datos!AB19-(Datos!V19+Datos!AJ19))/(Datos!V19+Datos!AJ19))
     ),IF(J_V="SI",(Datos!L19-Datos!V19)/Datos!V19,(Datos!L19+Datos!AB19-(Datos!V19+Datos!AJ19))/(Datos!V19+Datos!AJ19))," - ")</f>
        <v>-6.0088746456304694E-2</v>
      </c>
      <c r="F19" s="802">
        <f>IF(ISNUMBER((Datos!M19-Datos!W19)/Datos!W19),(Datos!M19-Datos!W19)/Datos!W19," - ")</f>
        <v>-6.7371475953565504E-2</v>
      </c>
      <c r="G19" s="803">
        <f>IF(ISNUMBER((Datos!N19-Datos!X19)/Datos!X19),(Datos!N19-Datos!X19)/Datos!X19," - ")</f>
        <v>-0.15960088283980137</v>
      </c>
      <c r="H19" s="804">
        <f>IF(ISNUMBER((Tasas!B19-Datos!BD19)/Datos!BD19),(Tasas!B19-Datos!BD19)/Datos!BD19," - ")</f>
        <v>0.12533409727501454</v>
      </c>
      <c r="I19" s="805">
        <f>IF(ISNUMBER((Tasas!C19-Datos!BE19)/Datos!BE19),(Tasas!C19-Datos!BE19)/Datos!BE19," - ")</f>
        <v>7.4834500818558039E-2</v>
      </c>
      <c r="J19" s="806">
        <f>IF(ISNUMBER((Tasas!D19-Datos!BF19)/Datos!BF19),(Tasas!D19-Datos!BF19)/Datos!BF19," - ")</f>
        <v>-0.5109945252037188</v>
      </c>
      <c r="K19" s="806">
        <f>IF(ISNUMBER((Tasas!E19-Datos!BG19)/Datos!BG19),(Tasas!E19-Datos!BG19)/Datos!BG19," - ")</f>
        <v>2.9617678564924442E-2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UGw61BJL5sXSzTyPBMvNTg6hCeI2Tx9+01F4rBCV4U52utjsGI+yYsreNbZgytWLCWsqV4MukOyXrkcquvfeQ==" saltValue="wEpzvPDcm216fvD3z6Id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MALAGA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1.2233141662310507</v>
      </c>
      <c r="C9" s="442">
        <f>IF(ISNUMBER(NºAsuntos!I9/NºAsuntos!G9),NºAsuntos!I9/NºAsuntos!G9," - ")</f>
        <v>2.7826681480215365</v>
      </c>
      <c r="D9" s="443">
        <f>IF(ISNUMBER('Resol  Asuntos'!D9/NºAsuntos!G9),'Resol  Asuntos'!D9/NºAsuntos!G9," - ")</f>
        <v>0.16665242286984019</v>
      </c>
      <c r="E9" s="444">
        <f>IF(ISNUMBER((NºAsuntos!C9+NºAsuntos!E9)/NºAsuntos!G9),(NºAsuntos!C9+NºAsuntos!E9)/NºAsuntos!G9," - ")</f>
        <v>3.7247243825314076</v>
      </c>
      <c r="G9" s="462"/>
    </row>
    <row r="10" spans="1:7" ht="21">
      <c r="A10" s="401" t="str">
        <f>Datos!A10</f>
        <v>Jdos. Violencia contra la mujer/Secc Viol. TI.</v>
      </c>
      <c r="B10" s="441">
        <f>IF(ISNUMBER(NºAsuntos!G10/NºAsuntos!E10),NºAsuntos!G10/NºAsuntos!E10," - ")</f>
        <v>1.2673267326732673</v>
      </c>
      <c r="C10" s="442">
        <f>IF(ISNUMBER(NºAsuntos!I10/NºAsuntos!G10),NºAsuntos!I10/NºAsuntos!G10," - ")</f>
        <v>1.34765625</v>
      </c>
      <c r="D10" s="443">
        <f>IF(ISNUMBER('Resol  Asuntos'!D10/NºAsuntos!G10),'Resol  Asuntos'!D10/NºAsuntos!G10," - ")</f>
        <v>0.3984375</v>
      </c>
      <c r="E10" s="444">
        <f>IF(ISNUMBER((NºAsuntos!C10+NºAsuntos!E10)/NºAsuntos!G10),(NºAsuntos!C10+NºAsuntos!E10)/NºAsuntos!G10," - ")</f>
        <v>2.3515625</v>
      </c>
      <c r="G10" s="462"/>
    </row>
    <row r="11" spans="1:7">
      <c r="A11" s="401" t="str">
        <f>Datos!A11</f>
        <v xml:space="preserve">Jdos. Familia                                   </v>
      </c>
      <c r="B11" s="441">
        <f>IF(ISNUMBER(NºAsuntos!G11/NºAsuntos!E11),NºAsuntos!G11/NºAsuntos!E11," - ")</f>
        <v>1.4288164665523155</v>
      </c>
      <c r="C11" s="442">
        <f>IF(ISNUMBER(NºAsuntos!I11/NºAsuntos!G11),NºAsuntos!I11/NºAsuntos!G11," - ")</f>
        <v>1.0222088835534213</v>
      </c>
      <c r="D11" s="443">
        <f>IF(ISNUMBER('Resol  Asuntos'!D11/NºAsuntos!G11),'Resol  Asuntos'!D11/NºAsuntos!G11," - ")</f>
        <v>0.40516206482593037</v>
      </c>
      <c r="E11" s="444">
        <f>IF(ISNUMBER((NºAsuntos!C11+NºAsuntos!E11)/NºAsuntos!G11),(NºAsuntos!C11+NºAsuntos!E11)/NºAsuntos!G11," - ")</f>
        <v>1.8835534213685474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1.2460440867099607</v>
      </c>
      <c r="C13" s="858">
        <f>IF(ISNUMBER(NºAsuntos!I13/NºAsuntos!G13),NºAsuntos!I13/NºAsuntos!G13," - ")</f>
        <v>2.5404096014093813</v>
      </c>
      <c r="D13" s="859">
        <f>IF(ISNUMBER('Resol  Asuntos'!D13/NºAsuntos!G13),'Resol  Asuntos'!D13/NºAsuntos!G13," - ")</f>
        <v>0.20017617264919621</v>
      </c>
      <c r="E13" s="860">
        <f>IF(ISNUMBER((NºAsuntos!C13+NºAsuntos!E13)/NºAsuntos!G13),(NºAsuntos!C13+NºAsuntos!E13)/NºAsuntos!G13," - ")</f>
        <v>3.4737576157968144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0.9766062158700195</v>
      </c>
      <c r="C15" s="442">
        <f>IF(ISNUMBER(NºAsuntos!I15/NºAsuntos!G15),NºAsuntos!I15/NºAsuntos!G15," - ")</f>
        <v>0.69052878641446913</v>
      </c>
      <c r="D15" s="443">
        <f>IF(ISNUMBER('Resol  Asuntos'!D15/NºAsuntos!G15),'Resol  Asuntos'!D15/NºAsuntos!G15," - ")</f>
        <v>0.11507662570757973</v>
      </c>
      <c r="E15" s="444">
        <f>IF(ISNUMBER((NºAsuntos!C15+NºAsuntos!E15)/NºAsuntos!G15),(NºAsuntos!C15+NºAsuntos!E15)/NºAsuntos!G15," - ")</f>
        <v>1.6814165401076901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1.0542355371900827</v>
      </c>
      <c r="C17" s="442">
        <f>IF(ISNUMBER(NºAsuntos!I17/NºAsuntos!G17),NºAsuntos!I17/NºAsuntos!G17," - ")</f>
        <v>0.55952964233219016</v>
      </c>
      <c r="D17" s="443">
        <f>IF(ISNUMBER('Resol  Asuntos'!D17/NºAsuntos!G17),'Resol  Asuntos'!D17/NºAsuntos!G17," - ")</f>
        <v>5.1445369916707499E-2</v>
      </c>
      <c r="E17" s="444">
        <f>IF(ISNUMBER((NºAsuntos!C17+NºAsuntos!E17)/NºAsuntos!G17),(NºAsuntos!C17+NºAsuntos!E17)/NºAsuntos!G17," - ")</f>
        <v>1.555609995100441</v>
      </c>
      <c r="G17" s="462"/>
    </row>
    <row r="18" spans="1:7" ht="14.25" thickTop="1" thickBot="1">
      <c r="A18" s="847" t="str">
        <f>Datos!A18</f>
        <v>TOTAL</v>
      </c>
      <c r="B18" s="857">
        <f>IF(ISNUMBER(NºAsuntos!G18/NºAsuntos!E18),NºAsuntos!G18/NºAsuntos!E18," - ")</f>
        <v>0.98556860874232211</v>
      </c>
      <c r="C18" s="858">
        <f>IF(ISNUMBER(NºAsuntos!I18/NºAsuntos!G18),NºAsuntos!I18/NºAsuntos!G18," - ")</f>
        <v>0.67435106189871119</v>
      </c>
      <c r="D18" s="861">
        <f>IF(ISNUMBER('Resol  Asuntos'!D18/NºAsuntos!G18),'Resol  Asuntos'!D18/NºAsuntos!G18," - ")</f>
        <v>0.10721849095419617</v>
      </c>
      <c r="E18" s="860">
        <f>IF(ISNUMBER((NºAsuntos!C18+NºAsuntos!E18)/NºAsuntos!G18),(NºAsuntos!C18+NºAsuntos!E18)/NºAsuntos!G18," - ")</f>
        <v>1.6658800750287408</v>
      </c>
      <c r="G18" s="462"/>
    </row>
    <row r="19" spans="1:7" ht="15.75" customHeight="1" thickTop="1" thickBot="1">
      <c r="A19" s="792" t="str">
        <f>Datos!A19</f>
        <v>TOTAL JURISDICCIONES</v>
      </c>
      <c r="B19" s="807">
        <f>IF(ISNUMBER(NºAsuntos!G19/NºAsuntos!E19),NºAsuntos!G19/NºAsuntos!E19," - ")</f>
        <v>1.0883690708252112</v>
      </c>
      <c r="C19" s="808">
        <f>IF(ISNUMBER(NºAsuntos!I19/NºAsuntos!G19),NºAsuntos!I19/NºAsuntos!G19," - ")</f>
        <v>1.5175124378109452</v>
      </c>
      <c r="D19" s="809">
        <f>IF(ISNUMBER('Resol  Asuntos'!D19/NºAsuntos!G19),'Resol  Asuntos'!D19/NºAsuntos!G19," - ")</f>
        <v>0.14922056384742952</v>
      </c>
      <c r="E19" s="810">
        <f>IF(ISNUMBER((NºAsuntos!C19+NºAsuntos!E19)/NºAsuntos!G19),(NºAsuntos!C19+NºAsuntos!E19)/NºAsuntos!G19," - ")</f>
        <v>2.4827529021558874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uHjnA+i9IamoniuwKkNw51KvM3hnQvBwCC0sUfuRZW5V1anJMFNwtW+eYnaqch2Sgli0joe5xWSjCvSkrhejA==" saltValue="luUDaVFv3mD/wNAVW7m+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18</v>
      </c>
      <c r="B9" s="176" t="s">
        <v>246</v>
      </c>
      <c r="C9" s="159" t="str">
        <f>Datos!A9</f>
        <v xml:space="preserve">Jdos. 1ª Instancia   </v>
      </c>
      <c r="D9" s="159"/>
      <c r="E9" s="1024">
        <f>IF(ISNUMBER(Datos!AQ9),Datos!AQ9," - ")</f>
        <v>18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2343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1437</v>
      </c>
      <c r="Y9" s="333">
        <f>SUM(W9:X9)</f>
        <v>1437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27620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1950</v>
      </c>
      <c r="AJ9" s="228" t="str">
        <f>IF(ISNUMBER(Datos!BW9),Datos!BW9," - ")</f>
        <v xml:space="preserve"> - </v>
      </c>
      <c r="AK9" s="227" t="str">
        <f>IF(ISNUMBER(Datos!BX9),Datos!BX9," - ")</f>
        <v xml:space="preserve"> - </v>
      </c>
      <c r="AL9" s="242">
        <f>IF(ISNUMBER(NºAsuntos!G9/NºAsuntos!E9),NºAsuntos!G9/NºAsuntos!E9," - ")</f>
        <v>1.2233141662310507</v>
      </c>
      <c r="AM9" s="259">
        <f>IF(ISNUMBER(((NºAsuntos!I9/NºAsuntos!G9)*11)/factor_trimestre),((NºAsuntos!I9/NºAsuntos!G9)*11)/factor_trimestre," - ")</f>
        <v>8.3480044440646104</v>
      </c>
      <c r="AN9" s="243">
        <f>IF(ISNUMBER('Resol  Asuntos'!D9/NºAsuntos!G9),'Resol  Asuntos'!D9/NºAsuntos!G9," - ")</f>
        <v>0.16665242286984019</v>
      </c>
      <c r="AO9" s="244">
        <f>IF(ISNUMBER((NºAsuntos!C9+NºAsuntos!E9)/NºAsuntos!G9),(NºAsuntos!C9+NºAsuntos!E9)/NºAsuntos!G9," - ")</f>
        <v>3.7247243825314076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246</v>
      </c>
      <c r="C10" s="7" t="str">
        <f>Datos!A10</f>
        <v>Jdos. Violencia contra la mujer/Secc Viol. TI.</v>
      </c>
      <c r="D10" s="7"/>
      <c r="E10" s="1024">
        <f>IF(ISNUMBER(Datos!AQ10),Datos!AQ10," - ")</f>
        <v>4</v>
      </c>
      <c r="F10" s="224">
        <f>IF(ISNUMBER(Datos!L10+Datos!K10-Datos!J10-K10),Datos!L10+Datos!K10-Datos!J10-K10," - ")</f>
        <v>399</v>
      </c>
      <c r="G10" s="332">
        <f>IF(ISNUMBER(Datos!I10),Datos!I10," - ")</f>
        <v>400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256</v>
      </c>
      <c r="X10" s="225">
        <f>IF(ISNUMBER(Datos!Q10),Datos!Q10," - ")</f>
        <v>23</v>
      </c>
      <c r="Y10" s="333">
        <f t="shared" ref="Y10:Y12" si="0">SUM(W10:X10)</f>
        <v>279</v>
      </c>
      <c r="Z10" s="334" t="str">
        <f>IF(ISNUMBER(Datos!CC10),Datos!CC10," - ")</f>
        <v xml:space="preserve"> - </v>
      </c>
      <c r="AA10" s="331">
        <f>IF(ISNUMBER(Datos!L10),Datos!L10,"-")</f>
        <v>345</v>
      </c>
      <c r="AB10" s="333">
        <f>IF(ISNUMBER(Datos!R10),Datos!R10," - ")</f>
        <v>404</v>
      </c>
      <c r="AC10" s="333">
        <f t="shared" ref="AC10:AC12" si="1">IF(ISNUMBER(AA10+AB10),AA10+AB10," - ")</f>
        <v>749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102</v>
      </c>
      <c r="AJ10" s="230" t="str">
        <f>IF(ISNUMBER(Datos!BW10),Datos!BW10," - ")</f>
        <v xml:space="preserve"> - </v>
      </c>
      <c r="AK10" s="231" t="str">
        <f>IF(ISNUMBER(Datos!BX10),Datos!BX10," - ")</f>
        <v xml:space="preserve"> - </v>
      </c>
      <c r="AL10" s="242">
        <f>IF(ISNUMBER(NºAsuntos!G10/NºAsuntos!E10),NºAsuntos!G10/NºAsuntos!E10," - ")</f>
        <v>1.2673267326732673</v>
      </c>
      <c r="AM10" s="259">
        <f>IF(ISNUMBER(((NºAsuntos!I10/NºAsuntos!G10)*11)/factor_trimestre),((NºAsuntos!I10/NºAsuntos!G10)*11)/factor_trimestre," - ")</f>
        <v>4.04296875</v>
      </c>
      <c r="AN10" s="243">
        <f>IF(ISNUMBER('Resol  Asuntos'!D10/NºAsuntos!G10),'Resol  Asuntos'!D10/NºAsuntos!G10," - ")</f>
        <v>0.3984375</v>
      </c>
      <c r="AO10" s="244">
        <f>IF(ISNUMBER((NºAsuntos!C10+NºAsuntos!E10)/NºAsuntos!G10),(NºAsuntos!C10+NºAsuntos!E10)/NºAsuntos!G10," - ")</f>
        <v>2.3515625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185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193</v>
      </c>
      <c r="Y11" s="333">
        <f t="shared" si="0"/>
        <v>193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2044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675</v>
      </c>
      <c r="AJ11" s="230" t="str">
        <f>IF(ISNUMBER(Datos!BW11),Datos!BW11," - ")</f>
        <v xml:space="preserve"> - </v>
      </c>
      <c r="AK11" s="231" t="str">
        <f>IF(ISNUMBER(Datos!BX11),Datos!BX11," - ")</f>
        <v xml:space="preserve"> - </v>
      </c>
      <c r="AL11" s="242">
        <f>IF(ISNUMBER(NºAsuntos!G11/NºAsuntos!E11),NºAsuntos!G11/NºAsuntos!E11," - ")</f>
        <v>1.4288164665523155</v>
      </c>
      <c r="AM11" s="259">
        <f>IF(ISNUMBER(((NºAsuntos!I11/NºAsuntos!G11)*11)/factor_trimestre),((NºAsuntos!I11/NºAsuntos!G11)*11)/factor_trimestre," - ")</f>
        <v>3.0666266506602642</v>
      </c>
      <c r="AN11" s="243">
        <f>IF(ISNUMBER('Resol  Asuntos'!D11/NºAsuntos!G11),'Resol  Asuntos'!D11/NºAsuntos!G11," - ")</f>
        <v>0.40516206482593037</v>
      </c>
      <c r="AO11" s="244">
        <f>IF(ISNUMBER((NºAsuntos!C11+NºAsuntos!E11)/NºAsuntos!G11),(NºAsuntos!C11+NºAsuntos!E11)/NºAsuntos!G11," - ")</f>
        <v>1.8835534213685474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26</v>
      </c>
      <c r="F13" s="864">
        <f t="shared" si="3"/>
        <v>399</v>
      </c>
      <c r="G13" s="865">
        <f t="shared" si="3"/>
        <v>400</v>
      </c>
      <c r="H13" s="864">
        <f t="shared" si="3"/>
        <v>0</v>
      </c>
      <c r="I13" s="866">
        <f t="shared" si="3"/>
        <v>0</v>
      </c>
      <c r="J13" s="866">
        <f t="shared" si="3"/>
        <v>0</v>
      </c>
      <c r="K13" s="866">
        <f t="shared" si="3"/>
        <v>0</v>
      </c>
      <c r="L13" s="866">
        <f t="shared" si="3"/>
        <v>2572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256</v>
      </c>
      <c r="X13" s="866">
        <f t="shared" si="4"/>
        <v>1653</v>
      </c>
      <c r="Y13" s="867">
        <f t="shared" si="4"/>
        <v>1909</v>
      </c>
      <c r="Z13" s="867">
        <f t="shared" si="4"/>
        <v>0</v>
      </c>
      <c r="AA13" s="867">
        <f t="shared" si="4"/>
        <v>345</v>
      </c>
      <c r="AB13" s="867">
        <f t="shared" si="4"/>
        <v>30068</v>
      </c>
      <c r="AC13" s="867">
        <f t="shared" si="4"/>
        <v>749</v>
      </c>
      <c r="AD13" s="867">
        <f t="shared" si="4"/>
        <v>0</v>
      </c>
      <c r="AE13" s="871">
        <f t="shared" si="4"/>
        <v>0</v>
      </c>
      <c r="AF13" s="864">
        <f t="shared" si="4"/>
        <v>0</v>
      </c>
      <c r="AG13" s="872">
        <f t="shared" si="4"/>
        <v>0</v>
      </c>
      <c r="AH13" s="869">
        <f t="shared" si="4"/>
        <v>0</v>
      </c>
      <c r="AI13" s="864">
        <f t="shared" si="4"/>
        <v>2727</v>
      </c>
      <c r="AJ13" s="866">
        <f t="shared" si="4"/>
        <v>0</v>
      </c>
      <c r="AK13" s="869">
        <f>SUBTOTAL(9,AK9:AK12)</f>
        <v>0</v>
      </c>
      <c r="AL13" s="873">
        <f>IF(ISNUMBER(NºAsuntos!G13/NºAsuntos!E13),NºAsuntos!G13/NºAsuntos!E13," - ")</f>
        <v>1.2460440867099607</v>
      </c>
      <c r="AM13" s="873">
        <f>IF(ISNUMBER(((NºAsuntos!I13/NºAsuntos!G13)*11)/factor_trimestre),((NºAsuntos!I13/NºAsuntos!G13)*11)/factor_trimestre," - ")</f>
        <v>7.6212288042281449</v>
      </c>
      <c r="AN13" s="874">
        <f>IF(ISNUMBER('Resol  Asuntos'!D13/NºAsuntos!G13),'Resol  Asuntos'!D13/NºAsuntos!G13," - ")</f>
        <v>0.20017617264919621</v>
      </c>
      <c r="AO13" s="875">
        <f>IF(ISNUMBER((NºAsuntos!C13+NºAsuntos!E13)/NºAsuntos!G13),(NºAsuntos!C13+NºAsuntos!E13)/NºAsuntos!G13," - ")</f>
        <v>3.4737576157968144</v>
      </c>
      <c r="AP13" s="876" t="str">
        <f t="shared" si="2"/>
        <v xml:space="preserve"> - </v>
      </c>
      <c r="AQ13" s="876">
        <f>IF(ISNUMBER((H13-W13+K13)/(F13)),(H13-W13+K13)/(F13)," - ")</f>
        <v>-0.64160401002506262</v>
      </c>
      <c r="AR13" s="877">
        <f>IF(ISNUMBER((Datos!P13-Datos!Q13)/(Datos!R13-Datos!P13+Datos!Q13)),(Datos!P13-Datos!Q13)/(Datos!R13-Datos!P13+Datos!Q13)," - ")</f>
        <v>3.1527668187587912E-2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14</v>
      </c>
      <c r="B15" s="274" t="s">
        <v>396</v>
      </c>
      <c r="C15" s="159" t="str">
        <f>Datos!A15</f>
        <v xml:space="preserve">Jdos. Instrucción                               </v>
      </c>
      <c r="D15" s="159"/>
      <c r="E15" s="1024">
        <f>IF(ISNUMBER(Datos!AQ15),Datos!AQ15," - ")</f>
        <v>14</v>
      </c>
      <c r="F15" s="224">
        <f>IF(ISNUMBER(AA15+W15-Datos!J15-K15),AA15+W15-Datos!J15-K15," - ")</f>
        <v>9656</v>
      </c>
      <c r="G15" s="332">
        <f>IF(ISNUMBER(IF(D_I="SI",Datos!I15,Datos!I15+Datos!AC15)),IF(D_I="SI",Datos!I15,Datos!I15+Datos!AC15)," - ")</f>
        <v>9524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676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14486</v>
      </c>
      <c r="X15" s="225">
        <f>IF(ISNUMBER(Datos!Q15),Datos!Q15," - ")</f>
        <v>708</v>
      </c>
      <c r="Y15" s="333">
        <f>SUM(W15)</f>
        <v>14486</v>
      </c>
      <c r="Z15" s="334" t="str">
        <f>IF(ISNUMBER(Datos!CC15),Datos!CC15," - ")</f>
        <v xml:space="preserve"> - </v>
      </c>
      <c r="AA15" s="331">
        <f>IF(ISNUMBER(IF(D_I="SI",Datos!L15,Datos!L15+Datos!AF15)),IF(D_I="SI",Datos!L15,Datos!L15+Datos!AF15)," - ")</f>
        <v>10003</v>
      </c>
      <c r="AB15" s="333">
        <f>IF(ISNUMBER(Datos!R15),Datos!R15," - ")</f>
        <v>1214</v>
      </c>
      <c r="AC15" s="333">
        <f t="shared" ref="AC15:AC17" si="6">IF(ISNUMBER(AA15+AB15),AA15+AB15," - ")</f>
        <v>11217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1667</v>
      </c>
      <c r="AJ15" s="230" t="str">
        <f>IF(ISNUMBER(Datos!BW15),Datos!BW15," - ")</f>
        <v xml:space="preserve"> - </v>
      </c>
      <c r="AK15" s="231" t="str">
        <f>IF(ISNUMBER(Datos!BX15),Datos!BX15," - ")</f>
        <v xml:space="preserve"> - </v>
      </c>
      <c r="AL15" s="242">
        <f>IF(ISNUMBER(NºAsuntos!G15/NºAsuntos!E15),NºAsuntos!G15/NºAsuntos!E15," - ")</f>
        <v>0.9766062158700195</v>
      </c>
      <c r="AM15" s="259">
        <f>IF(ISNUMBER(((NºAsuntos!I15/NºAsuntos!G15)*11)/factor_trimestre),((NºAsuntos!I15/NºAsuntos!G15)*11)/factor_trimestre," - ")</f>
        <v>2.0715863592434074</v>
      </c>
      <c r="AN15" s="243">
        <f>IF(ISNUMBER('Resol  Asuntos'!D15/NºAsuntos!G15),'Resol  Asuntos'!D15/NºAsuntos!G15," - ")</f>
        <v>0.11507662570757973</v>
      </c>
      <c r="AO15" s="244">
        <f>IF(ISNUMBER((NºAsuntos!C15+NºAsuntos!E15)/NºAsuntos!G15),(NºAsuntos!C15+NºAsuntos!E15)/NºAsuntos!G15," - ")</f>
        <v>1.6814165401076901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4</v>
      </c>
      <c r="B17" s="274" t="s">
        <v>396</v>
      </c>
      <c r="C17" s="7" t="str">
        <f>Datos!A17</f>
        <v>Jdos. Violencia contra la mujer/Secc Viol. TI.</v>
      </c>
      <c r="D17" s="7"/>
      <c r="E17" s="1024">
        <f>IF(ISNUMBER(Datos!AQ17),Datos!AQ17," - ")</f>
        <v>4</v>
      </c>
      <c r="F17" s="224" t="str">
        <f>IF(ISNUMBER(AA17+W17-H17-K17),AA17+W17-H17-K17," - ")</f>
        <v xml:space="preserve"> - </v>
      </c>
      <c r="G17" s="332">
        <f>IF(ISNUMBER(IF(D_I="SI",Datos!I17,Datos!I17+Datos!AC17)),IF(D_I="SI",Datos!I17,Datos!I17+Datos!AC17)," - ")</f>
        <v>1239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2041</v>
      </c>
      <c r="X17" s="225">
        <f>IF(ISNUMBER(Datos!Q17),Datos!Q17," - ")</f>
        <v>6</v>
      </c>
      <c r="Y17" s="333">
        <f t="shared" si="7"/>
        <v>2047</v>
      </c>
      <c r="Z17" s="334" t="str">
        <f>IF(ISNUMBER(Datos!CC17),Datos!CC17," - ")</f>
        <v xml:space="preserve"> - </v>
      </c>
      <c r="AA17" s="331">
        <f>IF(ISNUMBER(Datos!L17),Datos!L17,"-")</f>
        <v>1142</v>
      </c>
      <c r="AB17" s="333">
        <f>IF(ISNUMBER(Datos!R17),Datos!R17," - ")</f>
        <v>24</v>
      </c>
      <c r="AC17" s="333">
        <f t="shared" si="6"/>
        <v>1166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105</v>
      </c>
      <c r="AJ17" s="230" t="str">
        <f>IF(ISNUMBER(Datos!BW17),Datos!BW17," - ")</f>
        <v xml:space="preserve"> - </v>
      </c>
      <c r="AK17" s="231" t="str">
        <f>IF(ISNUMBER(Datos!BX17),Datos!BX17," - ")</f>
        <v xml:space="preserve"> - </v>
      </c>
      <c r="AL17" s="242">
        <f>IF(ISNUMBER(NºAsuntos!G17/NºAsuntos!E17),NºAsuntos!G17/NºAsuntos!E17," - ")</f>
        <v>1.0542355371900827</v>
      </c>
      <c r="AM17" s="259">
        <f>IF(ISNUMBER(((NºAsuntos!I17/NºAsuntos!G17)*11)/factor_trimestre),((NºAsuntos!I17/NºAsuntos!G17)*11)/factor_trimestre," - ")</f>
        <v>1.6785889269965706</v>
      </c>
      <c r="AN17" s="243">
        <f>IF(ISNUMBER('Resol  Asuntos'!D17/NºAsuntos!G17),'Resol  Asuntos'!D17/NºAsuntos!G17," - ")</f>
        <v>5.1445369916707499E-2</v>
      </c>
      <c r="AO17" s="244">
        <f>IF(ISNUMBER((NºAsuntos!C17+NºAsuntos!E17)/NºAsuntos!G17),(NºAsuntos!C17+NºAsuntos!E17)/NºAsuntos!G17," - ")</f>
        <v>1.555609995100441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18</v>
      </c>
      <c r="F18" s="864">
        <f>SUBTOTAL(9,F14:F17)</f>
        <v>9656</v>
      </c>
      <c r="G18" s="865">
        <f>SUBTOTAL(9,G15:G17)</f>
        <v>10763</v>
      </c>
      <c r="H18" s="864">
        <f t="shared" ref="H18:O18" si="10">SUBTOTAL(9,H14:H17)</f>
        <v>0</v>
      </c>
      <c r="I18" s="866">
        <f t="shared" si="10"/>
        <v>0</v>
      </c>
      <c r="J18" s="866">
        <f t="shared" si="10"/>
        <v>0</v>
      </c>
      <c r="K18" s="866">
        <f t="shared" si="10"/>
        <v>0</v>
      </c>
      <c r="L18" s="866">
        <f t="shared" si="10"/>
        <v>686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16527</v>
      </c>
      <c r="X18" s="866">
        <f t="shared" si="11"/>
        <v>714</v>
      </c>
      <c r="Y18" s="867">
        <f t="shared" si="11"/>
        <v>16533</v>
      </c>
      <c r="Z18" s="867">
        <f t="shared" si="11"/>
        <v>0</v>
      </c>
      <c r="AA18" s="867">
        <f t="shared" si="11"/>
        <v>11145</v>
      </c>
      <c r="AB18" s="867">
        <f t="shared" si="11"/>
        <v>1238</v>
      </c>
      <c r="AC18" s="867">
        <f t="shared" si="11"/>
        <v>12383</v>
      </c>
      <c r="AD18" s="867">
        <f t="shared" si="11"/>
        <v>0</v>
      </c>
      <c r="AE18" s="871">
        <f t="shared" si="11"/>
        <v>0</v>
      </c>
      <c r="AF18" s="864">
        <f t="shared" si="11"/>
        <v>0</v>
      </c>
      <c r="AG18" s="872">
        <f t="shared" si="11"/>
        <v>0</v>
      </c>
      <c r="AH18" s="869">
        <f t="shared" si="11"/>
        <v>0</v>
      </c>
      <c r="AI18" s="864">
        <f t="shared" si="11"/>
        <v>1772</v>
      </c>
      <c r="AJ18" s="866">
        <f t="shared" si="11"/>
        <v>0</v>
      </c>
      <c r="AK18" s="869">
        <f t="shared" si="11"/>
        <v>0</v>
      </c>
      <c r="AL18" s="873">
        <f>IF(ISNUMBER(NºAsuntos!G18/NºAsuntos!E18),NºAsuntos!G18/NºAsuntos!E18," - ")</f>
        <v>0.98556860874232211</v>
      </c>
      <c r="AM18" s="873">
        <f>IF(ISNUMBER(((NºAsuntos!I18/NºAsuntos!G18)*11)/factor_trimestre),((NºAsuntos!I18/NºAsuntos!G18)*11)/factor_trimestre," - ")</f>
        <v>2.0230531856961336</v>
      </c>
      <c r="AN18" s="874">
        <f>IF(ISNUMBER('Resol  Asuntos'!D18/NºAsuntos!G18),'Resol  Asuntos'!D18/NºAsuntos!G18," - ")</f>
        <v>0.10721849095419617</v>
      </c>
      <c r="AO18" s="875">
        <f>IF(ISNUMBER((NºAsuntos!C18+NºAsuntos!E18)/NºAsuntos!G18),(NºAsuntos!C18+NºAsuntos!E18)/NºAsuntos!G18," - ")</f>
        <v>1.6658800750287408</v>
      </c>
      <c r="AP18" s="876" t="str">
        <f t="shared" si="2"/>
        <v xml:space="preserve"> - </v>
      </c>
      <c r="AQ18" s="876">
        <f>IF(ISNUMBER((H18-W18+K18)/(F18)),(H18-W18+K18)/(F18)," - ")</f>
        <v>-1.7115782932891466</v>
      </c>
      <c r="AR18" s="877">
        <f>IF(ISNUMBER((Datos!P18-Datos!Q18)/(Datos!R18-Datos!P18+Datos!Q18)),(Datos!P18-Datos!Q18)/(Datos!R18-Datos!P18+Datos!Q18)," - ")</f>
        <v>-2.2116903633491312E-2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44</v>
      </c>
      <c r="F19" s="819">
        <f t="shared" si="13"/>
        <v>10055</v>
      </c>
      <c r="G19" s="820">
        <f t="shared" si="13"/>
        <v>11163</v>
      </c>
      <c r="H19" s="819">
        <f t="shared" si="13"/>
        <v>0</v>
      </c>
      <c r="I19" s="821">
        <f t="shared" si="13"/>
        <v>0</v>
      </c>
      <c r="J19" s="821">
        <f t="shared" si="13"/>
        <v>0</v>
      </c>
      <c r="K19" s="880">
        <f t="shared" si="13"/>
        <v>0</v>
      </c>
      <c r="L19" s="821">
        <f t="shared" si="13"/>
        <v>3258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16783</v>
      </c>
      <c r="X19" s="820">
        <f t="shared" si="14"/>
        <v>2367</v>
      </c>
      <c r="Y19" s="827">
        <f t="shared" si="14"/>
        <v>18442</v>
      </c>
      <c r="Z19" s="827">
        <f t="shared" si="14"/>
        <v>0</v>
      </c>
      <c r="AA19" s="827">
        <f t="shared" si="14"/>
        <v>11490</v>
      </c>
      <c r="AB19" s="827">
        <f t="shared" si="14"/>
        <v>31306</v>
      </c>
      <c r="AC19" s="827">
        <f t="shared" si="14"/>
        <v>13132</v>
      </c>
      <c r="AD19" s="827">
        <f t="shared" si="14"/>
        <v>0</v>
      </c>
      <c r="AE19" s="829">
        <f t="shared" si="14"/>
        <v>0</v>
      </c>
      <c r="AF19" s="830">
        <f t="shared" si="14"/>
        <v>0</v>
      </c>
      <c r="AG19" s="831">
        <f t="shared" si="14"/>
        <v>0</v>
      </c>
      <c r="AH19" s="829">
        <f t="shared" si="14"/>
        <v>0</v>
      </c>
      <c r="AI19" s="819">
        <f t="shared" si="14"/>
        <v>4499</v>
      </c>
      <c r="AJ19" s="819">
        <f t="shared" si="14"/>
        <v>0</v>
      </c>
      <c r="AK19" s="829">
        <f t="shared" si="14"/>
        <v>0</v>
      </c>
      <c r="AL19" s="883">
        <f>IF(ISNUMBER(NºAsuntos!G19/NºAsuntos!E19),NºAsuntos!G19/NºAsuntos!E19," - ")</f>
        <v>1.0883690708252112</v>
      </c>
      <c r="AM19" s="884">
        <f>IF(ISNUMBER(((NºAsuntos!I19/NºAsuntos!G19)*11)/factor_trimestre),((NºAsuntos!I19/NºAsuntos!G19)*11)/factor_trimestre," - ")</f>
        <v>4.5525373134328362</v>
      </c>
      <c r="AN19" s="884">
        <f>IF(ISNUMBER('Resol  Asuntos'!D19/NºAsuntos!G19),'Resol  Asuntos'!D19/NºAsuntos!G19," - ")</f>
        <v>0.14922056384742952</v>
      </c>
      <c r="AO19" s="885">
        <f>IF(ISNUMBER((NºAsuntos!C19+NºAsuntos!E19)/NºAsuntos!G19),(NºAsuntos!C19+NºAsuntos!E19)/NºAsuntos!G19," - ")</f>
        <v>2.4827529021558874</v>
      </c>
      <c r="AP19" s="886" t="str">
        <f t="shared" si="2"/>
        <v xml:space="preserve"> - </v>
      </c>
      <c r="AQ19" s="887">
        <f>IF(OR(ISNUMBER(FIND("01",Criterios!A8,1)),ISNUMBER(FIND("02",Criterios!A8,1)),ISNUMBER(FIND("03",Criterios!A8,1)),ISNUMBER(FIND("04",Criterios!A8,1))),(I19-W19+K19)/(F19-K19),(H19-W19+K19)/(F19-K19))</f>
        <v>-1.6691198408751864</v>
      </c>
      <c r="AR19" s="888">
        <f>IF(ISNUMBER((Datos!P19-Datos!Q19)/(Datos!R19-Datos!P19+Datos!Q19)),(Datos!P19-Datos!Q19)/(Datos!R19-Datos!P19+Datos!Q19)," - ")</f>
        <v>2.9294755877034357E-2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4465.2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9.4044906531105887</v>
      </c>
      <c r="F21" s="251">
        <f>IF(ISNUMBER(STDEV(F8:F18)),STDEV(F8:F18),"-")</f>
        <v>5344.5314418883654</v>
      </c>
      <c r="G21" s="252">
        <f>IF(ISNUMBER(STDEV(G8:G18)),STDEV(G8:G18),"-")</f>
        <v>5213.2957617998236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8092.3946826634701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1005.706195854909</v>
      </c>
      <c r="AJ21" s="251">
        <f t="shared" si="18"/>
        <v>0</v>
      </c>
      <c r="AK21" s="253">
        <f t="shared" si="18"/>
        <v>0</v>
      </c>
      <c r="AL21" s="248">
        <f t="shared" si="18"/>
        <v>0.16827146660024447</v>
      </c>
      <c r="AM21" s="249">
        <f t="shared" si="18"/>
        <v>2.7629635535799082</v>
      </c>
      <c r="AN21" s="249">
        <f t="shared" si="18"/>
        <v>0.14153396329969653</v>
      </c>
      <c r="AO21" s="250">
        <f t="shared" si="18"/>
        <v>0.90503336762126141</v>
      </c>
      <c r="AP21" s="290" t="str">
        <f t="shared" si="18"/>
        <v>-</v>
      </c>
      <c r="AQ21" s="291">
        <f t="shared" si="18"/>
        <v>0.75658607139124956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GJcJ7ZrkIzusPLxakhBKZbQsSfaecpFG0H250r2CkqMO3/VW/ShTW/Ear2mglSNnL/r0DpYzrxrI+zYctZvaA==" saltValue="TtQHOvRN8PG2OeF0FzPl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MALAGA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-0.21148402749696724</v>
      </c>
      <c r="I9" s="349">
        <f>IF(ISNUMBER((Tasas!C9-Datos!BE9)/Datos!BE9),(Tasas!C9-Datos!BE9)/Datos!BE9," - ")</f>
        <v>5.0266852109348385E-2</v>
      </c>
      <c r="J9" s="348">
        <f>IF(ISNUMBER((Tasas!D9-Datos!BF9)/Datos!BF9),(Tasas!D9-Datos!BF9)/Datos!BF9," - ")</f>
        <v>-0.72759348727237094</v>
      </c>
      <c r="K9" s="350">
        <f>IF(ISNUMBER((Tasas!E9-Datos!BG9)/Datos!BG9),(Tasas!E9-Datos!BG9)/Datos!BG9," - ")</f>
        <v>2.0595580700401808E-2</v>
      </c>
      <c r="M9" t="e">
        <f>IF(Monitorios="SI",Datos!CE9,0)</f>
        <v>#REF!</v>
      </c>
      <c r="N9" t="e">
        <f>IF(Monitorios="SI",Datos!CF9,0)</f>
        <v>#REF!</v>
      </c>
      <c r="O9" t="e">
        <f>IF(Monitorios="SI",Datos!CG9,0)</f>
        <v>#REF!</v>
      </c>
      <c r="P9" t="e">
        <f>IF(Monitorios="SI",Datos!CH9,0)</f>
        <v>#REF!</v>
      </c>
      <c r="Q9">
        <f>IF(J_V="SI",0,Datos!AG9)</f>
        <v>428</v>
      </c>
      <c r="R9">
        <f>IF(J_V="SI",0,Datos!AH9)</f>
        <v>919</v>
      </c>
      <c r="S9">
        <f>IF(J_V="SI",0,Datos!AI9)</f>
        <v>989</v>
      </c>
      <c r="T9">
        <f>IF(J_V="SI",0,Datos!AJ9)</f>
        <v>358</v>
      </c>
    </row>
    <row r="10" spans="2:20" ht="14.25">
      <c r="B10" s="274" t="s">
        <v>246</v>
      </c>
      <c r="C10" s="7" t="str">
        <f>Datos!A10</f>
        <v>Jdos. Violencia contra la mujer/Secc Viol. TI.</v>
      </c>
      <c r="D10" s="351">
        <f>IF(ISNUMBER((Datos!I10-Datos!S10)/Datos!S10),(Datos!I10-Datos!S10)/Datos!S10," - ")</f>
        <v>5.2631578947368418E-2</v>
      </c>
      <c r="E10" s="347">
        <f>IF(ISNUMBER((Datos!J10-Datos!T10)/Datos!T10),(Datos!J10-Datos!T10)/Datos!T10," - ")</f>
        <v>5.2083333333333336E-2</v>
      </c>
      <c r="F10" s="347">
        <f>IF(ISNUMBER((Datos!K10-Datos!U10)/Datos!U10),(Datos!K10-Datos!U10)/Datos!U10," - ")</f>
        <v>0.38378378378378381</v>
      </c>
      <c r="G10" s="348">
        <f>IF(ISNUMBER((Datos!L10-Datos!V10)/Datos!V10),(Datos!L10-Datos!V10)/Datos!V10," - ")</f>
        <v>-4.4321329639889197E-2</v>
      </c>
      <c r="H10" s="229">
        <f>IF(ISNUMBER((Datos!M10-Datos!W10)/Datos!W10),(Datos!M10-Datos!W10)/Datos!W10," - ")</f>
        <v>0.52238805970149249</v>
      </c>
      <c r="I10" s="349">
        <f>IF(ISNUMBER((Tasas!C10-Datos!BE10)/Datos!BE10),(Tasas!C10-Datos!BE10)/Datos!BE10," - ")</f>
        <v>-0.30937283587257619</v>
      </c>
      <c r="J10" s="348">
        <f>IF(ISNUMBER((Tasas!D10-Datos!BF10)/Datos!BF10),(Tasas!D10-Datos!BF10)/Datos!BF10," - ")</f>
        <v>0.10016324626865665</v>
      </c>
      <c r="K10" s="350">
        <f>IF(ISNUMBER((Tasas!E10-Datos!BG10)/Datos!BG10),(Tasas!E10-Datos!BG10)/Datos!BG10," - ")</f>
        <v>-0.23944219842657341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-6.8965517241379309E-2</v>
      </c>
      <c r="I11" s="349">
        <f>IF(ISNUMBER((Tasas!C11-Datos!BE11)/Datos!BE11),(Tasas!C11-Datos!BE11)/Datos!BE11," - ")</f>
        <v>-0.27745853308210705</v>
      </c>
      <c r="J11" s="348">
        <f>IF(ISNUMBER((Tasas!D11-Datos!BF11)/Datos!BF11),(Tasas!D11-Datos!BF11)/Datos!BF11," - ")</f>
        <v>0.32110889162182182</v>
      </c>
      <c r="K11" s="350">
        <f>IF(ISNUMBER((Tasas!E11-Datos!BG11)/Datos!BG11),(Tasas!E11-Datos!BG11)/Datos!BG11," - ")</f>
        <v>-0.21997697164742777</v>
      </c>
      <c r="M11" t="e">
        <f>IF(Monitorios="SI",Datos!CE11,0)</f>
        <v>#REF!</v>
      </c>
      <c r="N11" t="e">
        <f>IF(Monitorios="SI",Datos!CF11,0)</f>
        <v>#REF!</v>
      </c>
      <c r="O11" t="e">
        <f>IF(Monitorios="SI",Datos!CG11,0)</f>
        <v>#REF!</v>
      </c>
      <c r="P11" t="e">
        <f>IF(Monitorios="SI",Datos!CH11,0)</f>
        <v>#REF!</v>
      </c>
      <c r="Q11">
        <f>IF(J_V="SI",0,Datos!AG11)</f>
        <v>125</v>
      </c>
      <c r="R11">
        <f>IF(J_V="SI",0,Datos!AH11)</f>
        <v>101</v>
      </c>
      <c r="S11">
        <f>IF(J_V="SI",0,Datos!AI11)</f>
        <v>121</v>
      </c>
      <c r="T11">
        <f>IF(J_V="SI",0,Datos!AJ11)</f>
        <v>105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-0.16477794793261868</v>
      </c>
      <c r="I13" s="356">
        <f>IF(ISNUMBER((Tasas!C13-Datos!BE13)/Datos!BE13),(Tasas!C13-Datos!BE13)/Datos!BE13," - ")</f>
        <v>1.0578090376654836E-2</v>
      </c>
      <c r="J13" s="354">
        <f>IF(ISNUMBER((Tasas!D13-Datos!BF13)/Datos!BF13),(Tasas!D13-Datos!BF13)/Datos!BF13," - ")</f>
        <v>-0.65327664270994501</v>
      </c>
      <c r="K13" s="357">
        <f>IF(ISNUMBER((Tasas!E13-Datos!BG13)/Datos!BG13),(Tasas!E13-Datos!BG13)/Datos!BG13," - ")</f>
        <v>-1.1889989921315885E-2</v>
      </c>
      <c r="M13" t="e">
        <f>IF(Monitorios="SI",Datos!CE13,0)</f>
        <v>#REF!</v>
      </c>
      <c r="N13" t="e">
        <f>IF(Monitorios="SI",Datos!CF13,0)</f>
        <v>#REF!</v>
      </c>
      <c r="O13" t="e">
        <f>IF(Monitorios="SI",Datos!CG13,0)</f>
        <v>#REF!</v>
      </c>
      <c r="P13" t="e">
        <f>IF(Monitorios="SI",Datos!CH13,0)</f>
        <v>#REF!</v>
      </c>
      <c r="Q13">
        <f>IF(J_V="SI",0,Datos!AG13)</f>
        <v>553</v>
      </c>
      <c r="R13">
        <f>IF(J_V="SI",0,Datos!AH13)</f>
        <v>1020</v>
      </c>
      <c r="S13">
        <f>IF(J_V="SI",0,Datos!AI13)</f>
        <v>1110</v>
      </c>
      <c r="T13">
        <f>IF(J_V="SI",0,Datos!AJ13)</f>
        <v>463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0.12020701011526699</v>
      </c>
      <c r="E15" s="347">
        <f>IF(ISNUMBER(
   IF(D_I="SI",(Datos!J15-Datos!T15)/Datos!T15,(Datos!J15+Datos!AD15-(Datos!T15+Datos!AL15))/(Datos!T15+Datos!AL15))
     ),IF(D_I="SI",(Datos!J15-Datos!T15)/Datos!T15,(Datos!J15+Datos!AD15-(Datos!T15+Datos!AL15))/(Datos!T15+Datos!AL15))," - ")</f>
        <v>-0.14487489911218726</v>
      </c>
      <c r="F15" s="347">
        <f>IF(ISNUMBER(
   IF(D_I="SI",(Datos!K15-Datos!U15)/Datos!U15,(Datos!K15+Datos!AE15-(Datos!U15+Datos!AM15))/(Datos!U15+Datos!AM15))
     ),IF(D_I="SI",(Datos!K15-Datos!U15)/Datos!U15,(Datos!K15+Datos!AE15-(Datos!U15+Datos!AM15))/(Datos!U15+Datos!AM15))," - ")</f>
        <v>-0.15112803984764137</v>
      </c>
      <c r="G15" s="348">
        <f>IF(ISNUMBER(
   IF(D_I="SI",(Datos!L15-Datos!V15)/Datos!V15,(Datos!L15+Datos!AF15-(Datos!V15+Datos!AN15))/(Datos!V15+Datos!AN15))
     ),IF(D_I="SI",(Datos!L15-Datos!V15)/Datos!V15,(Datos!L15+Datos!AF15-(Datos!V15+Datos!AN15))/(Datos!V15+Datos!AN15))," - ")</f>
        <v>0.13309922972360672</v>
      </c>
      <c r="H15" s="229">
        <f>IF(ISNUMBER((Datos!M15-Datos!W15)/Datos!W15),(Datos!M15-Datos!W15)/Datos!W15," - ")</f>
        <v>0.14886285320468642</v>
      </c>
      <c r="I15" s="349">
        <f>IF(ISNUMBER((Tasas!C15-Datos!BE15)/Datos!BE15),(Tasas!C15-Datos!BE15)/Datos!BE15," - ")</f>
        <v>0.33482937700078336</v>
      </c>
      <c r="J15" s="348">
        <f>IF(ISNUMBER((Tasas!D15-Datos!BF15)/Datos!BF15),(Tasas!D15-Datos!BF15)/Datos!BF15," - ")</f>
        <v>0.35339946085447832</v>
      </c>
      <c r="K15" s="350">
        <f>IF(ISNUMBER((Tasas!E15-Datos!BG15)/Datos!BG15),(Tasas!E15-Datos!BG15)/Datos!BG15," - ")</f>
        <v>0.11008098332318687</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0.32939914163090128</v>
      </c>
      <c r="E17" s="347">
        <f>IF(ISNUMBER(
   IF(D_I="SI",(Datos!J17-Datos!T17)/Datos!T17,(Datos!J17+Datos!AD17-(Datos!T17+Datos!AL17))/(Datos!T17+Datos!AL17))
     ),IF(D_I="SI",(Datos!J17-Datos!T17)/Datos!T17,(Datos!J17+Datos!AD17-(Datos!T17+Datos!AL17))/(Datos!T17+Datos!AL17))," - ")</f>
        <v>8.3986562150055996E-2</v>
      </c>
      <c r="F17" s="347">
        <f>IF(ISNUMBER(
   IF(D_I="SI",(Datos!K17-Datos!U17)/Datos!U17,(Datos!K17+Datos!AE17-(Datos!U17+Datos!AM17))/(Datos!U17+Datos!AM17))
     ),IF(D_I="SI",(Datos!K17-Datos!U17)/Datos!U17,(Datos!K17+Datos!AE17-(Datos!U17+Datos!AM17))/(Datos!U17+Datos!AM17))," - ")</f>
        <v>7.9894179894179893E-2</v>
      </c>
      <c r="G17" s="348">
        <f>IF(ISNUMBER(
   IF(D_I="SI",(Datos!L17-Datos!V17)/Datos!V17,(Datos!L17+Datos!AF17-(Datos!V17+Datos!AN17))/(Datos!V17+Datos!AN17))
     ),IF(D_I="SI",(Datos!L17-Datos!V17)/Datos!V17,(Datos!L17+Datos!AF17-(Datos!V17+Datos!AN17))/(Datos!V17+Datos!AN17))," - ")</f>
        <v>0.37922705314009664</v>
      </c>
      <c r="H17" s="229">
        <f>IF(ISNUMBER((Datos!M17-Datos!W17)/Datos!W17),(Datos!M17-Datos!W17)/Datos!W17," - ")</f>
        <v>-2.7777777777777776E-2</v>
      </c>
      <c r="I17" s="349">
        <f>IF(ISNUMBER((Tasas!C17-Datos!BE17)/Datos!BE17),(Tasas!C17-Datos!BE17)/Datos!BE17," - ")</f>
        <v>0.27718722706260795</v>
      </c>
      <c r="J17" s="348">
        <f>IF(ISNUMBER((Tasas!D17-Datos!BF17)/Datos!BF17),(Tasas!D17-Datos!BF17)/Datos!BF17," - ")</f>
        <v>-9.9706026457618738E-2</v>
      </c>
      <c r="K17" s="350">
        <f>IF(ISNUMBER((Tasas!E17-Datos!BG17)/Datos!BG17),(Tasas!E17-Datos!BG17)/Datos!BG17," - ")</f>
        <v>8.1715559506929145E-2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0.14087343650625397</v>
      </c>
      <c r="E18" s="353">
        <f>IF(ISNUMBER(
   IF(D_I="SI",(Datos!J18-Datos!T18)/Datos!T18,(Datos!J18+Datos!AD18-(Datos!T18+Datos!AL18))/(Datos!T18+Datos!AL18))
     ),IF(D_I="SI",(Datos!J18-Datos!T18)/Datos!T18,(Datos!J18+Datos!AD18-(Datos!T18+Datos!AL18))/(Datos!T18+Datos!AL18))," - ")</f>
        <v>-0.1235103491532511</v>
      </c>
      <c r="F18" s="353">
        <f>IF(ISNUMBER(
   IF(D_I="SI",(Datos!K18-Datos!U18)/Datos!U18,(Datos!K18+Datos!AE18-(Datos!U18+Datos!AM18))/(Datos!U18+Datos!AM18))
     ),IF(D_I="SI",(Datos!K18-Datos!U18)/Datos!U18,(Datos!K18+Datos!AE18-(Datos!U18+Datos!AM18))/(Datos!U18+Datos!AM18))," - ")</f>
        <v>-0.12809285149037195</v>
      </c>
      <c r="G18" s="354">
        <f>IF(ISNUMBER(
   IF(D_I="SI",(Datos!L18-Datos!V18)/Datos!V18,(Datos!L18+Datos!AF18-(Datos!V18+Datos!AN18))/(Datos!V18+Datos!AN18))
     ),IF(D_I="SI",(Datos!L18-Datos!V18)/Datos!V18,(Datos!L18+Datos!AF18-(Datos!V18+Datos!AN18))/(Datos!V18+Datos!AN18))," - ")</f>
        <v>0.15420463960231981</v>
      </c>
      <c r="H18" s="355">
        <f>IF(ISNUMBER((Datos!M18-Datos!W18)/Datos!W18),(Datos!M18-Datos!W18)/Datos!W18," - ")</f>
        <v>0.13662604233483003</v>
      </c>
      <c r="I18" s="356">
        <f>IF(ISNUMBER((Tasas!C18-Datos!BE18)/Datos!BE18),(Tasas!C18-Datos!BE18)/Datos!BE18," - ")</f>
        <v>0.32377013031173069</v>
      </c>
      <c r="J18" s="354">
        <f>IF(ISNUMBER((Tasas!D18-Datos!BF18)/Datos!BF18),(Tasas!D18-Datos!BF18)/Datos!BF18," - ")</f>
        <v>0.30360904171699071</v>
      </c>
      <c r="K18" s="357">
        <f>IF(ISNUMBER((Tasas!E18-Datos!BG18)/Datos!BG18),(Tasas!E18-Datos!BG18)/Datos!BG18," - ")</f>
        <v>0.10539651411362397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-7.0753227063109353E-3</v>
      </c>
      <c r="E19" s="362">
        <f>IF(ISNUMBER(
   IF(J_V="SI",(Datos!J19-Datos!T19)/Datos!T19,(Datos!J19+Datos!Z19-(Datos!T19+Datos!AH19))/(Datos!T19+Datos!AH19))
     ),IF(J_V="SI",(Datos!J19-Datos!T19)/Datos!T19,(Datos!J19+Datos!Z19-(Datos!T19+Datos!AH19))/(Datos!T19+Datos!AH19))," - ")</f>
        <v>-0.22292350416561474</v>
      </c>
      <c r="F19" s="362">
        <f>IF(ISNUMBER(
   IF(J_V="SI",(Datos!K19-Datos!U19)/Datos!U19,(Datos!K19+Datos!AA19-(Datos!U19+Datos!AI19))/(Datos!U19+Datos!AI19))
     ),IF(J_V="SI",(Datos!K19-Datos!U19)/Datos!U19,(Datos!K19+Datos!AA19-(Datos!U19+Datos!AI19))/(Datos!U19+Datos!AI19))," - ")</f>
        <v>-0.12552932304658043</v>
      </c>
      <c r="G19" s="363">
        <f>IF(ISNUMBER(
   IF(J_V="SI",(Datos!L19-Datos!V19)/Datos!V19,(Datos!L19+Datos!AB19-(Datos!V19+Datos!AJ19))/(Datos!V19+Datos!AJ19))
     ),IF(J_V="SI",(Datos!L19-Datos!V19)/Datos!V19,(Datos!L19+Datos!AB19-(Datos!V19+Datos!AJ19))/(Datos!V19+Datos!AJ19))," - ")</f>
        <v>-6.0088746456304694E-2</v>
      </c>
      <c r="H19" s="364">
        <f>IF(ISNUMBER((Datos!M19-Datos!W19)/Datos!W19),(Datos!M19-Datos!W19)/Datos!W19," - ")</f>
        <v>-6.7371475953565504E-2</v>
      </c>
      <c r="I19" s="361">
        <f>IF(ISNUMBER((Tasas!C19-Datos!BE19)/Datos!BE19),(Tasas!C19-Datos!BE19)/Datos!BE19," - ")</f>
        <v>7.4834500818558039E-2</v>
      </c>
      <c r="J19" s="362">
        <f>IF(ISNUMBER((Tasas!D19-Datos!BF19)/Datos!BF19),(Tasas!D19-Datos!BF19)/Datos!BF19," - ")</f>
        <v>-0.5109945252037188</v>
      </c>
      <c r="K19" s="363">
        <f>IF(ISNUMBER((Tasas!E19-Datos!BG19)/Datos!BG19),(Tasas!E19-Datos!BG19)/Datos!BG19," - ")</f>
        <v>2.9617678564924442E-2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0.11856212810074419</v>
      </c>
      <c r="E21" s="277">
        <f t="shared" si="1"/>
        <v>0.11780367966545194</v>
      </c>
      <c r="F21" s="277">
        <f t="shared" si="1"/>
        <v>0.24793442199059415</v>
      </c>
      <c r="G21" s="278">
        <f t="shared" si="1"/>
        <v>0.1736719316902344</v>
      </c>
      <c r="H21" s="284">
        <f t="shared" si="1"/>
        <v>0.25003378416195171</v>
      </c>
      <c r="I21" s="276">
        <f t="shared" si="1"/>
        <v>0.27237018635666232</v>
      </c>
      <c r="J21" s="277">
        <f t="shared" si="1"/>
        <v>0.46065115712414345</v>
      </c>
      <c r="K21" s="278">
        <f t="shared" si="1"/>
        <v>0.14878660847184996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ygIV4XaJL5p8EyS9k4FBf/gYW3wFaB9FGfZVa2cEH1qba7XrDgBUrtHk2UQ29b0R0ZCalUZiBWbrZS9jJ3h0A==" saltValue="olj6gmxJSTMYCFLMIW5G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